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Default Extension="jpeg" ContentType="image/jpeg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5480" windowHeight="7755" firstSheet="3" activeTab="3"/>
  </bookViews>
  <sheets>
    <sheet name="Planteo Técnico" sheetId="1" state="hidden" r:id="rId1"/>
    <sheet name="Precios" sheetId="2" state="hidden" r:id="rId2"/>
    <sheet name="Costos" sheetId="3" state="hidden" r:id="rId3"/>
    <sheet name="Márgenes combinados" sheetId="5" r:id="rId4"/>
    <sheet name="Costo transporte" sheetId="6" state="hidden" r:id="rId5"/>
  </sheets>
  <calcPr calcId="114210"/>
</workbook>
</file>

<file path=xl/calcChain.xml><?xml version="1.0" encoding="utf-8"?>
<calcChain xmlns="http://schemas.openxmlformats.org/spreadsheetml/2006/main">
  <c r="H8" i="5"/>
  <c r="C25" i="2"/>
  <c r="D127" i="6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F1"/>
  <c r="C20" i="1"/>
  <c r="B21" i="3"/>
  <c r="K20" i="1"/>
  <c r="G24"/>
  <c r="I103" i="6"/>
  <c r="J103"/>
  <c r="I104"/>
  <c r="J104"/>
  <c r="I105"/>
  <c r="J105"/>
  <c r="I106"/>
  <c r="J106"/>
  <c r="I102"/>
  <c r="J102"/>
  <c r="I101"/>
  <c r="J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H21" i="3"/>
  <c r="E25"/>
  <c r="H26"/>
  <c r="C26" i="2"/>
  <c r="H29" i="3"/>
  <c r="H31"/>
  <c r="H32"/>
  <c r="H33"/>
  <c r="H34"/>
  <c r="H35"/>
  <c r="H36"/>
  <c r="H37"/>
  <c r="E39"/>
  <c r="E40"/>
  <c r="E41"/>
  <c r="E42"/>
  <c r="E38"/>
  <c r="E34"/>
  <c r="E36"/>
  <c r="E37"/>
  <c r="B29"/>
  <c r="B31"/>
  <c r="B32"/>
  <c r="B33"/>
  <c r="B34"/>
  <c r="B35"/>
  <c r="B36"/>
  <c r="B37"/>
  <c r="H28"/>
  <c r="H38"/>
  <c r="H9"/>
  <c r="H10"/>
  <c r="H11"/>
  <c r="H12"/>
  <c r="H13"/>
  <c r="H14"/>
  <c r="H15"/>
  <c r="H16"/>
  <c r="H17"/>
  <c r="H18"/>
  <c r="H8"/>
  <c r="C28" i="2"/>
  <c r="G10" i="5"/>
  <c r="G11"/>
  <c r="G12"/>
  <c r="H30" i="3"/>
  <c r="H19"/>
  <c r="G14" i="5"/>
  <c r="G18"/>
  <c r="G13"/>
  <c r="G16"/>
  <c r="G15"/>
  <c r="E33" i="3"/>
  <c r="E43"/>
  <c r="E27"/>
  <c r="E28"/>
  <c r="E29"/>
  <c r="E30"/>
  <c r="E26"/>
  <c r="E9"/>
  <c r="E10"/>
  <c r="E11"/>
  <c r="E12"/>
  <c r="E13"/>
  <c r="E14"/>
  <c r="E15"/>
  <c r="E16"/>
  <c r="E17"/>
  <c r="E18"/>
  <c r="E19"/>
  <c r="E20"/>
  <c r="E21"/>
  <c r="E22"/>
  <c r="E8"/>
  <c r="G17" i="5"/>
  <c r="E31" i="3"/>
  <c r="B28"/>
  <c r="B38"/>
  <c r="B9"/>
  <c r="B10"/>
  <c r="B11"/>
  <c r="B12"/>
  <c r="B13"/>
  <c r="B14"/>
  <c r="B15"/>
  <c r="B16"/>
  <c r="B17"/>
  <c r="B18"/>
  <c r="B8"/>
  <c r="B26"/>
  <c r="C24" i="2"/>
  <c r="C22"/>
  <c r="E10" i="5"/>
  <c r="E11"/>
  <c r="E12"/>
  <c r="E13"/>
  <c r="F20"/>
  <c r="E20"/>
  <c r="G20"/>
  <c r="F10"/>
  <c r="F11"/>
  <c r="G21"/>
  <c r="G22"/>
  <c r="E35" i="3"/>
  <c r="E23"/>
  <c r="F14" i="5"/>
  <c r="F12"/>
  <c r="F18"/>
  <c r="F22"/>
  <c r="F13"/>
  <c r="F15"/>
  <c r="F21"/>
  <c r="B30" i="3"/>
  <c r="B19"/>
  <c r="E14" i="5"/>
  <c r="E16"/>
  <c r="F16"/>
  <c r="E18"/>
  <c r="E22"/>
  <c r="E15"/>
  <c r="E17"/>
  <c r="E21"/>
  <c r="E26"/>
  <c r="G52"/>
  <c r="E24"/>
  <c r="G50"/>
  <c r="F17"/>
  <c r="E25"/>
  <c r="G51"/>
</calcChain>
</file>

<file path=xl/comments1.xml><?xml version="1.0" encoding="utf-8"?>
<comments xmlns="http://schemas.openxmlformats.org/spreadsheetml/2006/main">
  <authors>
    <author>lcordero</author>
    <author>gagusto</author>
  </authors>
  <commentList>
    <comment ref="A68" authorId="0">
      <text>
        <r>
          <rPr>
            <b/>
            <sz val="9"/>
            <color indexed="81"/>
            <rFont val="Tahoma"/>
            <family val="2"/>
          </rPr>
          <t>lcordero:</t>
        </r>
        <r>
          <rPr>
            <sz val="9"/>
            <color indexed="81"/>
            <rFont val="Tahoma"/>
            <family val="2"/>
          </rPr>
          <t xml:space="preserve">
RMA / 2 porque 500 has es muy grande
</t>
        </r>
      </text>
    </comment>
    <comment ref="A69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2% ingeniero agrónomo s/ Ing. Brutos de los cultivos</t>
        </r>
      </text>
    </comment>
    <comment ref="A70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$1200/ mes contador</t>
        </r>
      </text>
    </comment>
    <comment ref="A71" authorId="0">
      <text>
        <r>
          <rPr>
            <b/>
            <sz val="9"/>
            <color indexed="81"/>
            <rFont val="Tahoma"/>
            <family val="2"/>
          </rPr>
          <t>lcordero:</t>
        </r>
        <r>
          <rPr>
            <sz val="9"/>
            <color indexed="81"/>
            <rFont val="Tahoma"/>
            <family val="2"/>
          </rPr>
          <t xml:space="preserve">
RMA/2 porque 500 has es muy grande
</t>
        </r>
      </text>
    </comment>
    <comment ref="A73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Revista Márgenes Agropecuarios</t>
        </r>
      </text>
    </comment>
    <comment ref="A74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RMA</t>
        </r>
      </text>
    </comment>
    <comment ref="A75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RMA</t>
        </r>
      </text>
    </comment>
    <comment ref="A76" authorId="1">
      <text>
        <r>
          <rPr>
            <b/>
            <sz val="9"/>
            <color indexed="81"/>
            <rFont val="Tahoma"/>
            <family val="2"/>
          </rPr>
          <t>gagusto:</t>
        </r>
        <r>
          <rPr>
            <sz val="9"/>
            <color indexed="81"/>
            <rFont val="Tahoma"/>
            <family val="2"/>
          </rPr>
          <t xml:space="preserve">
RMA</t>
        </r>
      </text>
    </comment>
  </commentList>
</comments>
</file>

<file path=xl/sharedStrings.xml><?xml version="1.0" encoding="utf-8"?>
<sst xmlns="http://schemas.openxmlformats.org/spreadsheetml/2006/main" count="424" uniqueCount="129">
  <si>
    <t>U$S/ha</t>
  </si>
  <si>
    <t>Gastos Comerciales</t>
  </si>
  <si>
    <t>Ingresos Netos</t>
  </si>
  <si>
    <t>Costos Directos</t>
  </si>
  <si>
    <t>Gastos de estructura</t>
  </si>
  <si>
    <t>Rinde de indiferencia</t>
  </si>
  <si>
    <t>COSTOS DIRECTOS (U$S/ha)</t>
  </si>
  <si>
    <t>Labranzas (siembre directa, fert, pulverización)</t>
  </si>
  <si>
    <t xml:space="preserve">Semilla </t>
  </si>
  <si>
    <t>Urea</t>
  </si>
  <si>
    <t>Fosfato diamónico</t>
  </si>
  <si>
    <t>Glifosato</t>
  </si>
  <si>
    <t>Karate Zeon</t>
  </si>
  <si>
    <t>Cosecha</t>
  </si>
  <si>
    <t>Total Costos Directos</t>
  </si>
  <si>
    <t>GASTOS COMERCIALES (U$S/ha)</t>
  </si>
  <si>
    <t>Flete</t>
  </si>
  <si>
    <t>Impuesto - Sellado</t>
  </si>
  <si>
    <t>Paritaria</t>
  </si>
  <si>
    <t>Comisión Acopio</t>
  </si>
  <si>
    <t>Total Gastos Comerciales</t>
  </si>
  <si>
    <t>GASTOS DE ESTRUCTURA (U$S/ha)</t>
  </si>
  <si>
    <t>Movilidad Campo</t>
  </si>
  <si>
    <t>Personal</t>
  </si>
  <si>
    <t>Asesoramiento Técnico</t>
  </si>
  <si>
    <t>Asesoramiento Contable</t>
  </si>
  <si>
    <t>Impuesto Inmobiliario</t>
  </si>
  <si>
    <t>Impuesto sobre los bienes personales</t>
  </si>
  <si>
    <t>Impuestos s/déb y créd. Bancarios</t>
  </si>
  <si>
    <t>Conservación Mejoras</t>
  </si>
  <si>
    <t>Gastos imprevistos</t>
  </si>
  <si>
    <t>Total Gastos de Estructura</t>
  </si>
  <si>
    <t>Directos</t>
  </si>
  <si>
    <t>Unidad</t>
  </si>
  <si>
    <t xml:space="preserve">Labranzas </t>
  </si>
  <si>
    <t>U$S/unidad</t>
  </si>
  <si>
    <t>U$S/tn</t>
  </si>
  <si>
    <t>U$S/qq</t>
  </si>
  <si>
    <t>UTA/ha</t>
  </si>
  <si>
    <t>kg/ha</t>
  </si>
  <si>
    <t>lt/ha</t>
  </si>
  <si>
    <t>Comercialización</t>
  </si>
  <si>
    <t>$/tn</t>
  </si>
  <si>
    <t>US$/tn</t>
  </si>
  <si>
    <t>Movilidad Campo (Campo + Adm)</t>
  </si>
  <si>
    <t>Gastos imprevistos/Otros</t>
  </si>
  <si>
    <t>Atrazina 90 %</t>
  </si>
  <si>
    <t>Kg/ha</t>
  </si>
  <si>
    <t>2,4 D 100%</t>
  </si>
  <si>
    <t>Guardian</t>
  </si>
  <si>
    <t>Largo</t>
  </si>
  <si>
    <t>Corto</t>
  </si>
  <si>
    <t>Estructura</t>
  </si>
  <si>
    <t>Tasa vial</t>
  </si>
  <si>
    <t>Precio Maíz</t>
  </si>
  <si>
    <t>Precio Soja</t>
  </si>
  <si>
    <t>Flete Corto</t>
  </si>
  <si>
    <t>UAN solmix</t>
  </si>
  <si>
    <t>Arrendamiento en qq/ha de SOJA</t>
  </si>
  <si>
    <t xml:space="preserve">Arrendamiento U$S/ha </t>
  </si>
  <si>
    <t xml:space="preserve">Usted obtendrá el margen bruto, el margen neto y el rendimiento de indiferencia. </t>
  </si>
  <si>
    <t>Rendimiento esperado</t>
  </si>
  <si>
    <t>MAÍZ</t>
  </si>
  <si>
    <t>SOJA</t>
  </si>
  <si>
    <t>Roundup full II</t>
  </si>
  <si>
    <t>Metsulfuron Metil</t>
  </si>
  <si>
    <t>Inocultante + Fung</t>
  </si>
  <si>
    <t>Superfosfato Triple</t>
  </si>
  <si>
    <t>Fosfato monoamónico</t>
  </si>
  <si>
    <t>Roundup max</t>
  </si>
  <si>
    <t>Zarate Zeon</t>
  </si>
  <si>
    <t>Intrepid</t>
  </si>
  <si>
    <t>Connect</t>
  </si>
  <si>
    <t>Opera</t>
  </si>
  <si>
    <t>Secado</t>
  </si>
  <si>
    <t>Zarandeo</t>
  </si>
  <si>
    <t>b 200 gr</t>
  </si>
  <si>
    <t xml:space="preserve">SOJA </t>
  </si>
  <si>
    <t>Precio a cosecha en U$S/qq</t>
  </si>
  <si>
    <t>SORGO</t>
  </si>
  <si>
    <t>Labranzas  (Siembre directa, pulv)</t>
  </si>
  <si>
    <t>Atrazina 50</t>
  </si>
  <si>
    <t>Fighter Plus</t>
  </si>
  <si>
    <t>Fosfato Diamónico</t>
  </si>
  <si>
    <t>Precio Sorgo</t>
  </si>
  <si>
    <t>Cantidad</t>
  </si>
  <si>
    <t xml:space="preserve">Cantidad </t>
  </si>
  <si>
    <t>El planteo técnico de los insumos es un valor promedio obtenido con los aportes la Red provincial de Colaboradores del DIA.</t>
  </si>
  <si>
    <t>Departamento de Información Agroeconómica</t>
  </si>
  <si>
    <t>U$S/lt</t>
  </si>
  <si>
    <t>U$S/kg</t>
  </si>
  <si>
    <t>Karate Zeon 5%</t>
  </si>
  <si>
    <t>MÁRGENES 2014/2015</t>
  </si>
  <si>
    <t>Márgenes 2014/15</t>
  </si>
  <si>
    <t>Semilla RR</t>
  </si>
  <si>
    <t>MÁRGENES 2014/15</t>
  </si>
  <si>
    <t>Asesoramiento Técnico (% Ing. Totales)</t>
  </si>
  <si>
    <t>Dólar</t>
  </si>
  <si>
    <t>Siembra</t>
  </si>
  <si>
    <t>Flete $/tn</t>
  </si>
  <si>
    <t xml:space="preserve">Margen Bruto </t>
  </si>
  <si>
    <t>Cantidad de hectáreas (en %)</t>
  </si>
  <si>
    <t>CAMPAÑA 2015/16</t>
  </si>
  <si>
    <t>Clorimuron</t>
  </si>
  <si>
    <t>Superfosfato Simple</t>
  </si>
  <si>
    <t>Coragen</t>
  </si>
  <si>
    <t>Coragem</t>
  </si>
  <si>
    <t>Secada</t>
  </si>
  <si>
    <t>Km</t>
  </si>
  <si>
    <t>$/Tn</t>
  </si>
  <si>
    <t>Costo</t>
  </si>
  <si>
    <t>Distancia al puerto - flete largo-  (en km, múltiplo de 5)</t>
  </si>
  <si>
    <t xml:space="preserve">Margen Neto </t>
  </si>
  <si>
    <t>Margen Bruto en campo arrendado</t>
  </si>
  <si>
    <t xml:space="preserve">Ingresos Totales </t>
  </si>
  <si>
    <t>Campo arrendado</t>
  </si>
  <si>
    <t xml:space="preserve">Campo propio </t>
  </si>
  <si>
    <t>Las celdas amarillas son las que usted puede modificar (Cantidad de hectáreas, rendimiento, distancia flete, costo de arrendamiento en quintales)</t>
  </si>
  <si>
    <t xml:space="preserve">El arrendamiento se computa en quintales de soja por hectárea, y se toma el precio de la soja en la posición Mayo 2016 (ROFEX). </t>
  </si>
  <si>
    <t>Cualquier consulta o sugerencia no dude en escribirnos al siguiente correo: agroeconomia@bccba.com.ar ; gagusto@bccba.com.ar ; rfarias@bccba.com.ar</t>
  </si>
  <si>
    <t>Resultados en planteo combinado</t>
  </si>
  <si>
    <t>Margen Bruto (U$S/ha)</t>
  </si>
  <si>
    <t>Margen Neto (U$S/ha)</t>
  </si>
  <si>
    <t>Margen Bruto en Campo Arrendado (U$S/ha)</t>
  </si>
  <si>
    <t>Margen Bruto</t>
  </si>
  <si>
    <t>Margen Neto</t>
  </si>
  <si>
    <t>MB campo arrendado</t>
  </si>
  <si>
    <t xml:space="preserve"> </t>
  </si>
  <si>
    <t>Los gastos de estrcutura incluyen: movilidad, personal,  asesoramiento técnico y contable, impuestos, conservación y mejoras</t>
  </si>
</sst>
</file>

<file path=xl/styles.xml><?xml version="1.0" encoding="utf-8"?>
<styleSheet xmlns="http://schemas.openxmlformats.org/spreadsheetml/2006/main">
  <numFmts count="6">
    <numFmt numFmtId="164" formatCode="_ &quot;$&quot;\ * #,##0.00_ ;_ &quot;$&quot;\ * \-#,##0.00_ ;_ &quot;$&quot;\ * &quot;-&quot;??_ ;_ @_ "/>
    <numFmt numFmtId="165" formatCode="0.0"/>
    <numFmt numFmtId="166" formatCode="0.00_ ;[Red]\-0.00\ "/>
    <numFmt numFmtId="167" formatCode="0.0%"/>
    <numFmt numFmtId="168" formatCode="0.0_ ;[Red]\-0.0\ "/>
    <numFmt numFmtId="169" formatCode="0_ ;[Red]\-0\ "/>
  </numFmts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Aharoni"/>
      <charset val="177"/>
    </font>
    <font>
      <b/>
      <sz val="8"/>
      <color indexed="8"/>
      <name val="Calibri"/>
      <family val="2"/>
    </font>
    <font>
      <i/>
      <sz val="11"/>
      <color indexed="8"/>
      <name val="Calibri"/>
      <family val="2"/>
    </font>
    <font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sz val="16"/>
      <color indexed="8"/>
      <name val="Calibri"/>
      <family val="2"/>
    </font>
    <font>
      <b/>
      <i/>
      <sz val="14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i/>
      <sz val="12"/>
      <color indexed="8"/>
      <name val="Calibri"/>
      <family val="2"/>
    </font>
    <font>
      <b/>
      <sz val="14"/>
      <color indexed="10"/>
      <name val="Calibri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2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0" fontId="0" fillId="0" borderId="1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2" fontId="0" fillId="2" borderId="1" xfId="7" applyNumberFormat="1" applyFont="1" applyFill="1" applyBorder="1" applyAlignment="1">
      <alignment horizontal="right"/>
    </xf>
    <xf numFmtId="10" fontId="0" fillId="2" borderId="1" xfId="7" applyNumberFormat="1" applyFont="1" applyFill="1" applyBorder="1" applyAlignment="1">
      <alignment horizontal="right"/>
    </xf>
    <xf numFmtId="165" fontId="0" fillId="2" borderId="2" xfId="7" applyNumberFormat="1" applyFont="1" applyFill="1" applyBorder="1"/>
    <xf numFmtId="165" fontId="0" fillId="2" borderId="1" xfId="7" applyNumberFormat="1" applyFont="1" applyFill="1" applyBorder="1"/>
    <xf numFmtId="2" fontId="0" fillId="2" borderId="1" xfId="7" applyNumberFormat="1" applyFont="1" applyFill="1" applyBorder="1"/>
    <xf numFmtId="2" fontId="0" fillId="2" borderId="4" xfId="7" applyNumberFormat="1" applyFont="1" applyFill="1" applyBorder="1"/>
    <xf numFmtId="10" fontId="0" fillId="2" borderId="1" xfId="7" applyNumberFormat="1" applyFont="1" applyFill="1" applyBorder="1"/>
    <xf numFmtId="2" fontId="0" fillId="2" borderId="3" xfId="7" applyNumberFormat="1" applyFont="1" applyFill="1" applyBorder="1"/>
    <xf numFmtId="0" fontId="0" fillId="3" borderId="0" xfId="0" applyFill="1"/>
    <xf numFmtId="0" fontId="7" fillId="3" borderId="0" xfId="0" applyFont="1" applyFill="1"/>
    <xf numFmtId="2" fontId="0" fillId="2" borderId="3" xfId="0" applyNumberFormat="1" applyFill="1" applyBorder="1"/>
    <xf numFmtId="0" fontId="5" fillId="2" borderId="1" xfId="2" applyFont="1" applyFill="1" applyBorder="1" applyAlignment="1">
      <alignment horizontal="left"/>
    </xf>
    <xf numFmtId="0" fontId="0" fillId="4" borderId="5" xfId="0" applyFill="1" applyBorder="1" applyAlignment="1">
      <alignment horizontal="center"/>
    </xf>
    <xf numFmtId="2" fontId="0" fillId="0" borderId="0" xfId="7" applyNumberFormat="1" applyFont="1" applyFill="1" applyBorder="1"/>
    <xf numFmtId="0" fontId="7" fillId="5" borderId="6" xfId="0" applyFont="1" applyFill="1" applyBorder="1"/>
    <xf numFmtId="0" fontId="0" fillId="0" borderId="7" xfId="0" applyBorder="1" applyAlignment="1">
      <alignment horizontal="left" indent="1"/>
    </xf>
    <xf numFmtId="0" fontId="0" fillId="3" borderId="7" xfId="0" applyFill="1" applyBorder="1" applyAlignment="1">
      <alignment horizontal="left" indent="1"/>
    </xf>
    <xf numFmtId="0" fontId="0" fillId="3" borderId="8" xfId="0" applyFill="1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3" borderId="0" xfId="0" applyFill="1" applyBorder="1" applyAlignment="1">
      <alignment horizontal="left" indent="1"/>
    </xf>
    <xf numFmtId="0" fontId="0" fillId="3" borderId="0" xfId="0" applyFill="1" applyBorder="1"/>
    <xf numFmtId="0" fontId="0" fillId="3" borderId="10" xfId="0" applyFill="1" applyBorder="1" applyAlignment="1">
      <alignment horizontal="left" indent="1"/>
    </xf>
    <xf numFmtId="0" fontId="0" fillId="3" borderId="11" xfId="0" applyFill="1" applyBorder="1" applyAlignment="1">
      <alignment horizontal="left" indent="1"/>
    </xf>
    <xf numFmtId="0" fontId="0" fillId="3" borderId="12" xfId="0" applyFill="1" applyBorder="1" applyAlignment="1">
      <alignment horizontal="left" indent="1"/>
    </xf>
    <xf numFmtId="0" fontId="0" fillId="3" borderId="13" xfId="0" applyFill="1" applyBorder="1" applyAlignment="1">
      <alignment horizontal="left" indent="1"/>
    </xf>
    <xf numFmtId="0" fontId="0" fillId="3" borderId="14" xfId="0" applyFill="1" applyBorder="1" applyAlignment="1">
      <alignment horizontal="left" indent="1"/>
    </xf>
    <xf numFmtId="0" fontId="0" fillId="6" borderId="15" xfId="0" applyFill="1" applyBorder="1" applyAlignment="1">
      <alignment horizontal="center"/>
    </xf>
    <xf numFmtId="2" fontId="0" fillId="6" borderId="15" xfId="0" applyNumberFormat="1" applyFill="1" applyBorder="1" applyAlignment="1">
      <alignment horizontal="center"/>
    </xf>
    <xf numFmtId="2" fontId="0" fillId="6" borderId="16" xfId="0" applyNumberForma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7" fillId="5" borderId="3" xfId="0" applyFont="1" applyFill="1" applyBorder="1"/>
    <xf numFmtId="0" fontId="2" fillId="0" borderId="3" xfId="0" applyFont="1" applyBorder="1"/>
    <xf numFmtId="0" fontId="2" fillId="0" borderId="6" xfId="0" applyFont="1" applyBorder="1"/>
    <xf numFmtId="10" fontId="0" fillId="2" borderId="3" xfId="7" applyNumberFormat="1" applyFont="1" applyFill="1" applyBorder="1"/>
    <xf numFmtId="165" fontId="0" fillId="6" borderId="15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3" borderId="4" xfId="0" applyFill="1" applyBorder="1"/>
    <xf numFmtId="0" fontId="5" fillId="2" borderId="3" xfId="2" applyFont="1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19" xfId="0" applyFill="1" applyBorder="1" applyAlignment="1">
      <alignment horizontal="left" indent="1"/>
    </xf>
    <xf numFmtId="0" fontId="0" fillId="6" borderId="20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2" fontId="0" fillId="3" borderId="1" xfId="7" applyNumberFormat="1" applyFont="1" applyFill="1" applyBorder="1"/>
    <xf numFmtId="10" fontId="0" fillId="3" borderId="1" xfId="7" applyNumberFormat="1" applyFont="1" applyFill="1" applyBorder="1"/>
    <xf numFmtId="10" fontId="0" fillId="3" borderId="4" xfId="7" applyNumberFormat="1" applyFont="1" applyFill="1" applyBorder="1"/>
    <xf numFmtId="1" fontId="0" fillId="3" borderId="1" xfId="0" applyNumberFormat="1" applyFill="1" applyBorder="1"/>
    <xf numFmtId="0" fontId="5" fillId="2" borderId="21" xfId="2" applyFont="1" applyFill="1" applyBorder="1" applyAlignment="1">
      <alignment horizontal="left"/>
    </xf>
    <xf numFmtId="0" fontId="5" fillId="2" borderId="4" xfId="2" applyFont="1" applyFill="1" applyBorder="1" applyAlignment="1">
      <alignment horizontal="left"/>
    </xf>
    <xf numFmtId="167" fontId="0" fillId="2" borderId="1" xfId="7" applyNumberFormat="1" applyFont="1" applyFill="1" applyBorder="1" applyAlignment="1">
      <alignment horizontal="right"/>
    </xf>
    <xf numFmtId="2" fontId="0" fillId="2" borderId="3" xfId="7" applyNumberFormat="1" applyFont="1" applyFill="1" applyBorder="1" applyAlignment="1">
      <alignment horizontal="center"/>
    </xf>
    <xf numFmtId="169" fontId="0" fillId="3" borderId="0" xfId="0" applyNumberFormat="1" applyFill="1"/>
    <xf numFmtId="168" fontId="0" fillId="3" borderId="0" xfId="0" applyNumberFormat="1" applyFill="1"/>
    <xf numFmtId="0" fontId="3" fillId="4" borderId="5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0" fillId="3" borderId="0" xfId="7" applyNumberFormat="1" applyFont="1" applyFill="1" applyBorder="1"/>
    <xf numFmtId="2" fontId="0" fillId="3" borderId="0" xfId="0" applyNumberFormat="1" applyFill="1"/>
    <xf numFmtId="0" fontId="7" fillId="3" borderId="0" xfId="0" applyFont="1" applyFill="1" applyBorder="1"/>
    <xf numFmtId="2" fontId="0" fillId="3" borderId="0" xfId="7" applyNumberFormat="1" applyFont="1" applyFill="1" applyBorder="1" applyAlignment="1">
      <alignment horizontal="right"/>
    </xf>
    <xf numFmtId="10" fontId="0" fillId="3" borderId="0" xfId="7" applyNumberFormat="1" applyFont="1" applyFill="1" applyBorder="1" applyAlignment="1">
      <alignment horizontal="right"/>
    </xf>
    <xf numFmtId="165" fontId="0" fillId="3" borderId="0" xfId="7" applyNumberFormat="1" applyFont="1" applyFill="1" applyBorder="1"/>
    <xf numFmtId="0" fontId="0" fillId="3" borderId="2" xfId="0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6" fillId="3" borderId="0" xfId="0" applyFont="1" applyFill="1"/>
    <xf numFmtId="0" fontId="11" fillId="3" borderId="0" xfId="0" applyFont="1" applyFill="1" applyBorder="1"/>
    <xf numFmtId="0" fontId="0" fillId="3" borderId="22" xfId="0" applyFill="1" applyBorder="1" applyAlignment="1">
      <alignment horizontal="left" indent="1"/>
    </xf>
    <xf numFmtId="2" fontId="0" fillId="3" borderId="22" xfId="0" applyNumberForma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indent="1"/>
    </xf>
    <xf numFmtId="0" fontId="13" fillId="3" borderId="23" xfId="0" applyFont="1" applyFill="1" applyBorder="1"/>
    <xf numFmtId="0" fontId="13" fillId="3" borderId="4" xfId="0" applyFont="1" applyFill="1" applyBorder="1" applyAlignment="1">
      <alignment horizontal="left" indent="1"/>
    </xf>
    <xf numFmtId="0" fontId="13" fillId="3" borderId="21" xfId="0" applyFont="1" applyFill="1" applyBorder="1" applyAlignment="1">
      <alignment horizontal="left" indent="1"/>
    </xf>
    <xf numFmtId="2" fontId="13" fillId="3" borderId="21" xfId="0" applyNumberFormat="1" applyFont="1" applyFill="1" applyBorder="1"/>
    <xf numFmtId="0" fontId="0" fillId="5" borderId="2" xfId="0" applyFill="1" applyBorder="1" applyAlignment="1">
      <alignment horizontal="left" indent="1"/>
    </xf>
    <xf numFmtId="0" fontId="0" fillId="5" borderId="23" xfId="0" applyFill="1" applyBorder="1"/>
    <xf numFmtId="0" fontId="0" fillId="5" borderId="4" xfId="0" applyFill="1" applyBorder="1" applyAlignment="1">
      <alignment horizontal="left" indent="1"/>
    </xf>
    <xf numFmtId="0" fontId="0" fillId="5" borderId="21" xfId="0" applyFill="1" applyBorder="1" applyAlignment="1">
      <alignment horizontal="left" indent="1"/>
    </xf>
    <xf numFmtId="0" fontId="0" fillId="5" borderId="21" xfId="0" applyFill="1" applyBorder="1"/>
    <xf numFmtId="2" fontId="0" fillId="3" borderId="1" xfId="0" applyNumberFormat="1" applyFill="1" applyBorder="1" applyAlignment="1">
      <alignment horizontal="center"/>
    </xf>
    <xf numFmtId="0" fontId="2" fillId="3" borderId="0" xfId="0" applyFont="1" applyFill="1"/>
    <xf numFmtId="0" fontId="6" fillId="3" borderId="0" xfId="0" applyFont="1" applyFill="1" applyAlignment="1">
      <alignment horizontal="right" vertical="center"/>
    </xf>
    <xf numFmtId="0" fontId="14" fillId="3" borderId="0" xfId="0" applyFont="1" applyFill="1"/>
    <xf numFmtId="0" fontId="12" fillId="3" borderId="0" xfId="0" applyFont="1" applyFill="1" applyAlignment="1">
      <alignment vertical="distributed"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/>
    <xf numFmtId="0" fontId="15" fillId="3" borderId="0" xfId="0" applyFont="1" applyFill="1"/>
    <xf numFmtId="0" fontId="2" fillId="3" borderId="5" xfId="0" applyFont="1" applyFill="1" applyBorder="1" applyAlignment="1">
      <alignment horizontal="center" vertical="center"/>
    </xf>
    <xf numFmtId="164" fontId="13" fillId="3" borderId="23" xfId="1" applyNumberFormat="1" applyFont="1" applyFill="1" applyBorder="1"/>
    <xf numFmtId="164" fontId="13" fillId="3" borderId="21" xfId="1" applyNumberFormat="1" applyFont="1" applyFill="1" applyBorder="1"/>
    <xf numFmtId="0" fontId="0" fillId="3" borderId="1" xfId="0" applyFill="1" applyBorder="1" applyAlignment="1">
      <alignment horizontal="left" indent="1"/>
    </xf>
    <xf numFmtId="0" fontId="0" fillId="3" borderId="2" xfId="0" applyFill="1" applyBorder="1" applyAlignment="1">
      <alignment horizontal="left" indent="1"/>
    </xf>
    <xf numFmtId="0" fontId="0" fillId="3" borderId="4" xfId="0" applyFill="1" applyBorder="1" applyAlignment="1">
      <alignment horizontal="left" indent="1"/>
    </xf>
    <xf numFmtId="0" fontId="0" fillId="2" borderId="4" xfId="0" applyFill="1" applyBorder="1"/>
    <xf numFmtId="0" fontId="6" fillId="3" borderId="0" xfId="0" applyFont="1" applyFill="1" applyAlignment="1">
      <alignment horizontal="center" vertical="center" wrapText="1"/>
    </xf>
    <xf numFmtId="166" fontId="14" fillId="3" borderId="0" xfId="0" applyNumberFormat="1" applyFont="1" applyFill="1"/>
    <xf numFmtId="0" fontId="3" fillId="3" borderId="0" xfId="0" applyFont="1" applyFill="1"/>
    <xf numFmtId="169" fontId="16" fillId="4" borderId="5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>
      <alignment wrapText="1"/>
    </xf>
    <xf numFmtId="167" fontId="14" fillId="3" borderId="0" xfId="7" applyNumberFormat="1" applyFont="1" applyFill="1"/>
    <xf numFmtId="166" fontId="0" fillId="3" borderId="0" xfId="0" applyNumberFormat="1" applyFill="1"/>
    <xf numFmtId="167" fontId="0" fillId="3" borderId="0" xfId="7" applyNumberFormat="1" applyFont="1" applyFill="1"/>
    <xf numFmtId="167" fontId="14" fillId="3" borderId="0" xfId="7" applyNumberFormat="1" applyFont="1" applyFill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7" borderId="17" xfId="0" applyFont="1" applyFill="1" applyBorder="1"/>
    <xf numFmtId="168" fontId="3" fillId="2" borderId="25" xfId="0" applyNumberFormat="1" applyFont="1" applyFill="1" applyBorder="1" applyAlignment="1">
      <alignment horizontal="center"/>
    </xf>
    <xf numFmtId="0" fontId="19" fillId="3" borderId="19" xfId="0" applyFont="1" applyFill="1" applyBorder="1"/>
    <xf numFmtId="168" fontId="19" fillId="3" borderId="20" xfId="0" applyNumberFormat="1" applyFont="1" applyFill="1" applyBorder="1" applyAlignment="1">
      <alignment horizontal="center"/>
    </xf>
    <xf numFmtId="0" fontId="19" fillId="3" borderId="10" xfId="0" applyFont="1" applyFill="1" applyBorder="1"/>
    <xf numFmtId="168" fontId="19" fillId="3" borderId="15" xfId="0" applyNumberFormat="1" applyFont="1" applyFill="1" applyBorder="1" applyAlignment="1">
      <alignment horizontal="center"/>
    </xf>
    <xf numFmtId="0" fontId="18" fillId="3" borderId="26" xfId="0" applyFont="1" applyFill="1" applyBorder="1" applyAlignment="1">
      <alignment horizontal="left" indent="1"/>
    </xf>
    <xf numFmtId="0" fontId="18" fillId="6" borderId="27" xfId="0" applyFont="1" applyFill="1" applyBorder="1"/>
    <xf numFmtId="168" fontId="18" fillId="6" borderId="16" xfId="0" applyNumberFormat="1" applyFont="1" applyFill="1" applyBorder="1" applyAlignment="1">
      <alignment horizontal="center"/>
    </xf>
    <xf numFmtId="9" fontId="3" fillId="4" borderId="20" xfId="7" applyFont="1" applyFill="1" applyBorder="1" applyAlignment="1" applyProtection="1">
      <alignment horizontal="center" vertical="center"/>
      <protection locked="0"/>
    </xf>
    <xf numFmtId="1" fontId="3" fillId="4" borderId="20" xfId="0" applyNumberFormat="1" applyFont="1" applyFill="1" applyBorder="1" applyAlignment="1" applyProtection="1">
      <alignment horizontal="center" vertical="center"/>
      <protection locked="0"/>
    </xf>
    <xf numFmtId="168" fontId="2" fillId="4" borderId="28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/>
    </xf>
    <xf numFmtId="0" fontId="20" fillId="8" borderId="22" xfId="0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center" vertical="center"/>
    </xf>
    <xf numFmtId="0" fontId="20" fillId="8" borderId="29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168" fontId="3" fillId="7" borderId="17" xfId="0" applyNumberFormat="1" applyFont="1" applyFill="1" applyBorder="1" applyAlignment="1">
      <alignment horizontal="center"/>
    </xf>
    <xf numFmtId="168" fontId="3" fillId="7" borderId="29" xfId="0" applyNumberFormat="1" applyFont="1" applyFill="1" applyBorder="1" applyAlignment="1">
      <alignment horizontal="center"/>
    </xf>
    <xf numFmtId="168" fontId="3" fillId="7" borderId="18" xfId="0" applyNumberFormat="1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166" fontId="21" fillId="3" borderId="10" xfId="0" applyNumberFormat="1" applyFont="1" applyFill="1" applyBorder="1" applyAlignment="1">
      <alignment horizontal="left" wrapText="1"/>
    </xf>
    <xf numFmtId="166" fontId="21" fillId="3" borderId="0" xfId="0" applyNumberFormat="1" applyFont="1" applyFill="1" applyAlignment="1">
      <alignment horizontal="left" wrapText="1"/>
    </xf>
    <xf numFmtId="0" fontId="17" fillId="3" borderId="0" xfId="0" applyFont="1" applyFill="1" applyBorder="1" applyAlignment="1" applyProtection="1">
      <alignment horizontal="center" vertical="center" wrapText="1"/>
    </xf>
    <xf numFmtId="0" fontId="17" fillId="3" borderId="11" xfId="0" applyFont="1" applyFill="1" applyBorder="1" applyAlignment="1" applyProtection="1">
      <alignment horizontal="center" vertical="center" wrapText="1"/>
    </xf>
    <xf numFmtId="0" fontId="3" fillId="8" borderId="2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</cellXfs>
  <cellStyles count="8">
    <cellStyle name="Moneda" xfId="1" builtinId="4"/>
    <cellStyle name="Normal" xfId="0" builtinId="0"/>
    <cellStyle name="Normal 2" xfId="2"/>
    <cellStyle name="Normal 2 2 2" xfId="3"/>
    <cellStyle name="Normal 3" xfId="4"/>
    <cellStyle name="Normal 4" xfId="5"/>
    <cellStyle name="Normal 4 3" xfId="6"/>
    <cellStyle name="Porcentual" xfId="7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/>
            </a:pPr>
            <a:r>
              <a:rPr lang="es-AR" sz="1400"/>
              <a:t>Márgenes planteo</a:t>
            </a:r>
            <a:r>
              <a:rPr lang="es-AR" sz="1400" baseline="0"/>
              <a:t> combinado 2015/2016</a:t>
            </a:r>
          </a:p>
          <a:p>
            <a:pPr>
              <a:defRPr sz="1400"/>
            </a:pPr>
            <a:r>
              <a:rPr lang="es-AR" sz="1400" baseline="0"/>
              <a:t>- U$S/ha -</a:t>
            </a:r>
            <a:endParaRPr lang="es-AR" sz="1400"/>
          </a:p>
        </c:rich>
      </c:tx>
      <c:layout>
        <c:manualLayout>
          <c:xMode val="edge"/>
          <c:yMode val="edge"/>
          <c:x val="0.14147325042313635"/>
          <c:y val="0"/>
        </c:manualLayout>
      </c:layout>
      <c:overlay val="1"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5196850393700786E-2"/>
          <c:y val="0.18929405918611175"/>
          <c:w val="0.8490253771119729"/>
          <c:h val="0.66864059432808587"/>
        </c:manualLayout>
      </c:layout>
      <c:barChart>
        <c:barDir val="col"/>
        <c:grouping val="clustered"/>
        <c:ser>
          <c:idx val="0"/>
          <c:order val="0"/>
          <c:spPr>
            <a:pattFill prst="dkHorz">
              <a:fgClr>
                <a:schemeClr val="accent3">
                  <a:lumMod val="50000"/>
                </a:schemeClr>
              </a:fgClr>
              <a:bgClr>
                <a:schemeClr val="bg1"/>
              </a:bgClr>
            </a:pattFill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Val val="1"/>
          </c:dLbls>
          <c:cat>
            <c:strRef>
              <c:f>'Márgenes combinados'!$F$50:$F$52</c:f>
              <c:strCache>
                <c:ptCount val="3"/>
                <c:pt idx="0">
                  <c:v>Margen Bruto</c:v>
                </c:pt>
                <c:pt idx="1">
                  <c:v>Margen Neto</c:v>
                </c:pt>
                <c:pt idx="2">
                  <c:v>MB campo arrendado</c:v>
                </c:pt>
              </c:strCache>
            </c:strRef>
          </c:cat>
          <c:val>
            <c:numRef>
              <c:f>'Márgenes combinados'!$G$50:$G$52</c:f>
              <c:numCache>
                <c:formatCode>0.0_ ;[Red]\-0.0\ </c:formatCode>
                <c:ptCount val="3"/>
                <c:pt idx="0">
                  <c:v>38.185074305799688</c:v>
                </c:pt>
                <c:pt idx="1">
                  <c:v>-84.578523261862912</c:v>
                </c:pt>
                <c:pt idx="2">
                  <c:v>-66.76356880702987</c:v>
                </c:pt>
              </c:numCache>
            </c:numRef>
          </c:val>
        </c:ser>
        <c:axId val="35568256"/>
        <c:axId val="51052928"/>
      </c:barChart>
      <c:catAx>
        <c:axId val="35568256"/>
        <c:scaling>
          <c:orientation val="minMax"/>
        </c:scaling>
        <c:axPos val="b"/>
        <c:numFmt formatCode="General" sourceLinked="0"/>
        <c:tickLblPos val="low"/>
        <c:txPr>
          <a:bodyPr anchor="b" anchorCtr="0"/>
          <a:lstStyle/>
          <a:p>
            <a:pPr>
              <a:defRPr sz="1200" b="1"/>
            </a:pPr>
            <a:endParaRPr lang="es-ES"/>
          </a:p>
        </c:txPr>
        <c:crossAx val="51052928"/>
        <c:crosses val="autoZero"/>
        <c:auto val="1"/>
        <c:lblAlgn val="ctr"/>
        <c:lblOffset val="100"/>
      </c:catAx>
      <c:valAx>
        <c:axId val="51052928"/>
        <c:scaling>
          <c:orientation val="minMax"/>
        </c:scaling>
        <c:delete val="1"/>
        <c:axPos val="l"/>
        <c:numFmt formatCode="0.0_ ;[Red]\-0.0\ " sourceLinked="1"/>
        <c:tickLblPos val="none"/>
        <c:crossAx val="35568256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/>
            </a:pPr>
            <a:r>
              <a:rPr lang="es-AR" sz="1000"/>
              <a:t>Márgenes</a:t>
            </a:r>
            <a:r>
              <a:rPr lang="es-AR" sz="1000" baseline="0"/>
              <a:t>  maíz 2015/2016</a:t>
            </a:r>
          </a:p>
          <a:p>
            <a:pPr>
              <a:defRPr sz="1000"/>
            </a:pPr>
            <a:r>
              <a:rPr lang="es-AR" sz="1000" baseline="0"/>
              <a:t>- U$S/ha -</a:t>
            </a:r>
            <a:endParaRPr lang="es-AR" sz="1000"/>
          </a:p>
        </c:rich>
      </c:tx>
      <c:layout>
        <c:manualLayout>
          <c:xMode val="edge"/>
          <c:yMode val="edge"/>
          <c:x val="0.26358947705794206"/>
          <c:y val="0"/>
        </c:manualLayout>
      </c:layout>
      <c:overlay val="1"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246110297814641E-2"/>
          <c:y val="0.16331256680589903"/>
          <c:w val="0.84078332949062329"/>
          <c:h val="0.63471175349954467"/>
        </c:manualLayout>
      </c:layout>
      <c:barChart>
        <c:barDir val="col"/>
        <c:grouping val="clustered"/>
        <c:ser>
          <c:idx val="0"/>
          <c:order val="0"/>
          <c:spPr>
            <a:pattFill prst="dkHorz">
              <a:fgClr>
                <a:schemeClr val="accent3">
                  <a:lumMod val="75000"/>
                </a:schemeClr>
              </a:fgClr>
              <a:bgClr>
                <a:schemeClr val="bg1"/>
              </a:bgClr>
            </a:pattFill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/>
                </a:pPr>
                <a:endParaRPr lang="es-ES"/>
              </a:p>
            </c:txPr>
            <c:showVal val="1"/>
          </c:dLbls>
          <c:cat>
            <c:strRef>
              <c:f>'Márgenes combinados'!$F$50:$F$52</c:f>
              <c:strCache>
                <c:ptCount val="3"/>
                <c:pt idx="0">
                  <c:v>Margen Bruto</c:v>
                </c:pt>
                <c:pt idx="1">
                  <c:v>Margen Neto</c:v>
                </c:pt>
                <c:pt idx="2">
                  <c:v>MB campo arrendado</c:v>
                </c:pt>
              </c:strCache>
            </c:strRef>
          </c:cat>
          <c:val>
            <c:numRef>
              <c:f>('Márgenes combinados'!$E$15,'Márgenes combinados'!$E$17,'Márgenes combinados'!$E$21)</c:f>
              <c:numCache>
                <c:formatCode>0.0_ ;[Red]\-0.0\ </c:formatCode>
                <c:ptCount val="3"/>
                <c:pt idx="0">
                  <c:v>11.202394903339211</c:v>
                </c:pt>
                <c:pt idx="1">
                  <c:v>-44.9238025483304</c:v>
                </c:pt>
                <c:pt idx="2">
                  <c:v>-82.398802548330394</c:v>
                </c:pt>
              </c:numCache>
            </c:numRef>
          </c:val>
        </c:ser>
        <c:axId val="51081216"/>
        <c:axId val="51082752"/>
      </c:barChart>
      <c:catAx>
        <c:axId val="51081216"/>
        <c:scaling>
          <c:orientation val="minMax"/>
        </c:scaling>
        <c:axPos val="b"/>
        <c:numFmt formatCode="General" sourceLinked="1"/>
        <c:tickLblPos val="low"/>
        <c:crossAx val="51082752"/>
        <c:crosses val="autoZero"/>
        <c:auto val="1"/>
        <c:lblAlgn val="ctr"/>
        <c:lblOffset val="100"/>
      </c:catAx>
      <c:valAx>
        <c:axId val="51082752"/>
        <c:scaling>
          <c:orientation val="minMax"/>
        </c:scaling>
        <c:delete val="1"/>
        <c:axPos val="l"/>
        <c:numFmt formatCode="0.0_ ;[Red]\-0.0\ " sourceLinked="1"/>
        <c:tickLblPos val="none"/>
        <c:crossAx val="51081216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/>
            </a:pPr>
            <a:r>
              <a:rPr lang="es-AR" sz="1000"/>
              <a:t>Márgenes</a:t>
            </a:r>
            <a:r>
              <a:rPr lang="es-AR" sz="1000" baseline="0"/>
              <a:t>  sorgo 2015/2016</a:t>
            </a:r>
          </a:p>
          <a:p>
            <a:pPr>
              <a:defRPr sz="1000"/>
            </a:pPr>
            <a:r>
              <a:rPr lang="es-AR" sz="1000" baseline="0"/>
              <a:t>- U$S/ha -</a:t>
            </a:r>
            <a:endParaRPr lang="es-AR" sz="1000"/>
          </a:p>
        </c:rich>
      </c:tx>
      <c:layout>
        <c:manualLayout>
          <c:xMode val="edge"/>
          <c:yMode val="edge"/>
          <c:x val="0.26358915578590653"/>
          <c:y val="0"/>
        </c:manualLayout>
      </c:layout>
      <c:overlay val="1"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246110297814641E-2"/>
          <c:y val="0.18355341620096879"/>
          <c:w val="0.83317057016220897"/>
          <c:h val="0.60898545807199822"/>
        </c:manualLayout>
      </c:layout>
      <c:barChart>
        <c:barDir val="col"/>
        <c:grouping val="clustered"/>
        <c:ser>
          <c:idx val="0"/>
          <c:order val="0"/>
          <c:spPr>
            <a:pattFill prst="dkHorz">
              <a:fgClr>
                <a:schemeClr val="accent3">
                  <a:lumMod val="75000"/>
                </a:schemeClr>
              </a:fgClr>
              <a:bgClr>
                <a:schemeClr val="bg1"/>
              </a:bgClr>
            </a:pattFill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/>
                </a:pPr>
                <a:endParaRPr lang="es-ES"/>
              </a:p>
            </c:txPr>
            <c:showVal val="1"/>
          </c:dLbls>
          <c:cat>
            <c:strRef>
              <c:f>'Márgenes combinados'!$F$50:$F$52</c:f>
              <c:strCache>
                <c:ptCount val="3"/>
                <c:pt idx="0">
                  <c:v>Margen Bruto</c:v>
                </c:pt>
                <c:pt idx="1">
                  <c:v>Margen Neto</c:v>
                </c:pt>
                <c:pt idx="2">
                  <c:v>MB campo arrendado</c:v>
                </c:pt>
              </c:strCache>
            </c:strRef>
          </c:cat>
          <c:val>
            <c:numRef>
              <c:f>('Márgenes combinados'!$G$15,'Márgenes combinados'!$G$17,'Márgenes combinados'!$G$21)</c:f>
              <c:numCache>
                <c:formatCode>0.0_ ;[Red]\-0.0\ </c:formatCode>
                <c:ptCount val="3"/>
                <c:pt idx="0">
                  <c:v>-0.25735841827768696</c:v>
                </c:pt>
                <c:pt idx="1">
                  <c:v>-10.130735841827772</c:v>
                </c:pt>
                <c:pt idx="2">
                  <c:v>-17.625735841827769</c:v>
                </c:pt>
              </c:numCache>
            </c:numRef>
          </c:val>
        </c:ser>
        <c:axId val="51324800"/>
        <c:axId val="51326336"/>
      </c:barChart>
      <c:catAx>
        <c:axId val="51324800"/>
        <c:scaling>
          <c:orientation val="minMax"/>
        </c:scaling>
        <c:axPos val="b"/>
        <c:numFmt formatCode="General" sourceLinked="1"/>
        <c:tickLblPos val="low"/>
        <c:crossAx val="51326336"/>
        <c:crosses val="autoZero"/>
        <c:auto val="1"/>
        <c:lblAlgn val="ctr"/>
        <c:lblOffset val="100"/>
      </c:catAx>
      <c:valAx>
        <c:axId val="51326336"/>
        <c:scaling>
          <c:orientation val="minMax"/>
        </c:scaling>
        <c:delete val="1"/>
        <c:axPos val="l"/>
        <c:numFmt formatCode="0.0_ ;[Red]\-0.0\ " sourceLinked="1"/>
        <c:tickLblPos val="none"/>
        <c:crossAx val="51324800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/>
            </a:pPr>
            <a:r>
              <a:rPr lang="es-AR" sz="1000"/>
              <a:t>Márgenes</a:t>
            </a:r>
            <a:r>
              <a:rPr lang="es-AR" sz="1000" baseline="0"/>
              <a:t>  soja 2015/2016</a:t>
            </a:r>
          </a:p>
          <a:p>
            <a:pPr>
              <a:defRPr sz="1000"/>
            </a:pPr>
            <a:r>
              <a:rPr lang="es-AR" sz="1000" baseline="0"/>
              <a:t>- U$S/ha -</a:t>
            </a:r>
            <a:endParaRPr lang="es-AR" sz="1000"/>
          </a:p>
        </c:rich>
      </c:tx>
      <c:layout>
        <c:manualLayout>
          <c:xMode val="edge"/>
          <c:yMode val="edge"/>
          <c:x val="0.26358936920964349"/>
          <c:y val="0"/>
        </c:manualLayout>
      </c:layout>
      <c:overlay val="1"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246110297814641E-2"/>
          <c:y val="0.16331256680589903"/>
          <c:w val="0.84078332949062329"/>
          <c:h val="0.63471175349954467"/>
        </c:manualLayout>
      </c:layout>
      <c:barChart>
        <c:barDir val="col"/>
        <c:grouping val="clustered"/>
        <c:ser>
          <c:idx val="0"/>
          <c:order val="0"/>
          <c:spPr>
            <a:pattFill prst="dkHorz">
              <a:fgClr>
                <a:schemeClr val="accent3">
                  <a:lumMod val="75000"/>
                </a:schemeClr>
              </a:fgClr>
              <a:bgClr>
                <a:schemeClr val="bg1"/>
              </a:bgClr>
            </a:pattFill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/>
                </a:pPr>
                <a:endParaRPr lang="es-ES"/>
              </a:p>
            </c:txPr>
            <c:showVal val="1"/>
          </c:dLbls>
          <c:cat>
            <c:strRef>
              <c:f>'Márgenes combinados'!$F$50:$F$52</c:f>
              <c:strCache>
                <c:ptCount val="3"/>
                <c:pt idx="0">
                  <c:v>Margen Bruto</c:v>
                </c:pt>
                <c:pt idx="1">
                  <c:v>Margen Neto</c:v>
                </c:pt>
                <c:pt idx="2">
                  <c:v>MB campo arrendado</c:v>
                </c:pt>
              </c:strCache>
            </c:strRef>
          </c:cat>
          <c:val>
            <c:numRef>
              <c:f>('Márgenes combinados'!$F$15,'Márgenes combinados'!$F$17,'Márgenes combinados'!$F$21)</c:f>
              <c:numCache>
                <c:formatCode>0.0_ ;[Red]\-0.0\ </c:formatCode>
                <c:ptCount val="3"/>
                <c:pt idx="0">
                  <c:v>27.240037820738166</c:v>
                </c:pt>
                <c:pt idx="1">
                  <c:v>-29.523984871704741</c:v>
                </c:pt>
                <c:pt idx="2">
                  <c:v>-59.503984871704738</c:v>
                </c:pt>
              </c:numCache>
            </c:numRef>
          </c:val>
        </c:ser>
        <c:axId val="51338240"/>
        <c:axId val="51376896"/>
      </c:barChart>
      <c:catAx>
        <c:axId val="51338240"/>
        <c:scaling>
          <c:orientation val="minMax"/>
        </c:scaling>
        <c:axPos val="b"/>
        <c:numFmt formatCode="General" sourceLinked="1"/>
        <c:tickLblPos val="low"/>
        <c:crossAx val="51376896"/>
        <c:crosses val="autoZero"/>
        <c:auto val="1"/>
        <c:lblAlgn val="ctr"/>
        <c:lblOffset val="100"/>
      </c:catAx>
      <c:valAx>
        <c:axId val="51376896"/>
        <c:scaling>
          <c:orientation val="minMax"/>
        </c:scaling>
        <c:delete val="1"/>
        <c:axPos val="l"/>
        <c:numFmt formatCode="0.0_ ;[Red]\-0.0\ " sourceLinked="1"/>
        <c:tickLblPos val="none"/>
        <c:crossAx val="51338240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3.xml"/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9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0</xdr:col>
      <xdr:colOff>2714625</xdr:colOff>
      <xdr:row>4</xdr:row>
      <xdr:rowOff>133350</xdr:rowOff>
    </xdr:to>
    <xdr:pic>
      <xdr:nvPicPr>
        <xdr:cNvPr id="207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47625"/>
          <a:ext cx="25336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3</xdr:col>
      <xdr:colOff>104775</xdr:colOff>
      <xdr:row>5</xdr:row>
      <xdr:rowOff>0</xdr:rowOff>
    </xdr:to>
    <xdr:pic>
      <xdr:nvPicPr>
        <xdr:cNvPr id="7169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0"/>
          <a:ext cx="28098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0</xdr:col>
      <xdr:colOff>2790825</xdr:colOff>
      <xdr:row>5</xdr:row>
      <xdr:rowOff>9525</xdr:rowOff>
    </xdr:to>
    <xdr:pic>
      <xdr:nvPicPr>
        <xdr:cNvPr id="819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76200"/>
          <a:ext cx="26003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142875</xdr:rowOff>
    </xdr:from>
    <xdr:to>
      <xdr:col>3</xdr:col>
      <xdr:colOff>1771650</xdr:colOff>
      <xdr:row>6</xdr:row>
      <xdr:rowOff>95250</xdr:rowOff>
    </xdr:to>
    <xdr:pic>
      <xdr:nvPicPr>
        <xdr:cNvPr id="615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42875"/>
          <a:ext cx="36195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542925</xdr:colOff>
      <xdr:row>17</xdr:row>
      <xdr:rowOff>133350</xdr:rowOff>
    </xdr:from>
    <xdr:to>
      <xdr:col>17</xdr:col>
      <xdr:colOff>57150</xdr:colOff>
      <xdr:row>30</xdr:row>
      <xdr:rowOff>180975</xdr:rowOff>
    </xdr:to>
    <xdr:graphicFrame macro="">
      <xdr:nvGraphicFramePr>
        <xdr:cNvPr id="6155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609600</xdr:colOff>
      <xdr:row>8</xdr:row>
      <xdr:rowOff>152400</xdr:rowOff>
    </xdr:from>
    <xdr:to>
      <xdr:col>11</xdr:col>
      <xdr:colOff>257175</xdr:colOff>
      <xdr:row>17</xdr:row>
      <xdr:rowOff>171450</xdr:rowOff>
    </xdr:to>
    <xdr:graphicFrame macro="">
      <xdr:nvGraphicFramePr>
        <xdr:cNvPr id="6156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409575</xdr:colOff>
      <xdr:row>11</xdr:row>
      <xdr:rowOff>95250</xdr:rowOff>
    </xdr:from>
    <xdr:to>
      <xdr:col>12</xdr:col>
      <xdr:colOff>190500</xdr:colOff>
      <xdr:row>15</xdr:row>
      <xdr:rowOff>47625</xdr:rowOff>
    </xdr:to>
    <xdr:pic>
      <xdr:nvPicPr>
        <xdr:cNvPr id="6157" name="Picture 21" descr="http://201.151.136.90/ducor/uploads/img/img_prod__b6714aDC2010grandejpg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34875" y="2447925"/>
          <a:ext cx="542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133350</xdr:colOff>
      <xdr:row>12</xdr:row>
      <xdr:rowOff>85725</xdr:rowOff>
    </xdr:from>
    <xdr:to>
      <xdr:col>8</xdr:col>
      <xdr:colOff>47625</xdr:colOff>
      <xdr:row>15</xdr:row>
      <xdr:rowOff>47625</xdr:rowOff>
    </xdr:to>
    <xdr:pic>
      <xdr:nvPicPr>
        <xdr:cNvPr id="6158" name="Picture 15" descr="https://encrypted-tbn2.gstatic.com/images?q=tbn:ANd9GcScaU7sAV518qHiVPj41ZRAyjsoGQdb69aC-LBzSXC2bcbB_gjc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829675" y="2628900"/>
          <a:ext cx="8572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133350</xdr:colOff>
      <xdr:row>8</xdr:row>
      <xdr:rowOff>104775</xdr:rowOff>
    </xdr:from>
    <xdr:to>
      <xdr:col>16</xdr:col>
      <xdr:colOff>95250</xdr:colOff>
      <xdr:row>17</xdr:row>
      <xdr:rowOff>142875</xdr:rowOff>
    </xdr:to>
    <xdr:graphicFrame macro="">
      <xdr:nvGraphicFramePr>
        <xdr:cNvPr id="6159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828675</xdr:colOff>
      <xdr:row>18</xdr:row>
      <xdr:rowOff>104775</xdr:rowOff>
    </xdr:from>
    <xdr:to>
      <xdr:col>11</xdr:col>
      <xdr:colOff>485775</xdr:colOff>
      <xdr:row>27</xdr:row>
      <xdr:rowOff>180975</xdr:rowOff>
    </xdr:to>
    <xdr:graphicFrame macro="">
      <xdr:nvGraphicFramePr>
        <xdr:cNvPr id="6160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371475</xdr:colOff>
      <xdr:row>22</xdr:row>
      <xdr:rowOff>171450</xdr:rowOff>
    </xdr:from>
    <xdr:to>
      <xdr:col>8</xdr:col>
      <xdr:colOff>152400</xdr:colOff>
      <xdr:row>25</xdr:row>
      <xdr:rowOff>209550</xdr:rowOff>
    </xdr:to>
    <xdr:pic>
      <xdr:nvPicPr>
        <xdr:cNvPr id="6161" name="Picture 13" descr="http://www.cookandfood.com/wp-content/uploads/2012/10/0909p114-soybeans-edamame-l.jpe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067800" y="48672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609600</xdr:colOff>
      <xdr:row>18</xdr:row>
      <xdr:rowOff>152400</xdr:rowOff>
    </xdr:from>
    <xdr:to>
      <xdr:col>17</xdr:col>
      <xdr:colOff>447675</xdr:colOff>
      <xdr:row>23</xdr:row>
      <xdr:rowOff>9525</xdr:rowOff>
    </xdr:to>
    <xdr:pic>
      <xdr:nvPicPr>
        <xdr:cNvPr id="6162" name="Picture 21" descr="http://201.151.136.90/ducor/uploads/img/img_prod__b6714aDC2010grandejpg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344900" y="4019550"/>
          <a:ext cx="6000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485775</xdr:colOff>
      <xdr:row>22</xdr:row>
      <xdr:rowOff>171450</xdr:rowOff>
    </xdr:from>
    <xdr:to>
      <xdr:col>17</xdr:col>
      <xdr:colOff>638175</xdr:colOff>
      <xdr:row>26</xdr:row>
      <xdr:rowOff>161925</xdr:rowOff>
    </xdr:to>
    <xdr:pic>
      <xdr:nvPicPr>
        <xdr:cNvPr id="6163" name="Picture 13" descr="http://www.cookandfood.com/wp-content/uploads/2012/10/0909p114-soybeans-edamame-l.jpe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221075" y="486727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400050</xdr:colOff>
      <xdr:row>20</xdr:row>
      <xdr:rowOff>228600</xdr:rowOff>
    </xdr:from>
    <xdr:to>
      <xdr:col>18</xdr:col>
      <xdr:colOff>581025</xdr:colOff>
      <xdr:row>24</xdr:row>
      <xdr:rowOff>19050</xdr:rowOff>
    </xdr:to>
    <xdr:pic>
      <xdr:nvPicPr>
        <xdr:cNvPr id="6164" name="Picture 15" descr="https://encrypted-tbn2.gstatic.com/images?q=tbn:ANd9GcScaU7sAV518qHiVPj41ZRAyjsoGQdb69aC-LBzSXC2bcbB_gjc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97350" y="4476750"/>
          <a:ext cx="9429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Q80"/>
  <sheetViews>
    <sheetView topLeftCell="A4" zoomScale="70" zoomScaleNormal="70" workbookViewId="0">
      <selection activeCell="C21" sqref="C21"/>
    </sheetView>
  </sheetViews>
  <sheetFormatPr baseColWidth="10" defaultRowHeight="15"/>
  <cols>
    <col min="1" max="1" width="41.5703125" bestFit="1" customWidth="1"/>
    <col min="2" max="2" width="11.5703125" bestFit="1" customWidth="1"/>
    <col min="4" max="4" width="11.42578125" style="16"/>
    <col min="5" max="5" width="39" bestFit="1" customWidth="1"/>
    <col min="6" max="6" width="9.42578125" bestFit="1" customWidth="1"/>
    <col min="8" max="8" width="11.42578125" style="16"/>
    <col min="9" max="9" width="39" bestFit="1" customWidth="1"/>
    <col min="10" max="10" width="9.28515625" bestFit="1" customWidth="1"/>
    <col min="17" max="43" width="11.42578125" style="16"/>
  </cols>
  <sheetData>
    <row r="1" spans="1:16">
      <c r="A1" s="16"/>
      <c r="B1" s="16"/>
      <c r="C1" s="16"/>
      <c r="E1" s="16"/>
      <c r="F1" s="16"/>
      <c r="G1" s="16"/>
      <c r="I1" s="16"/>
      <c r="J1" s="16"/>
      <c r="K1" s="16"/>
      <c r="L1" s="16"/>
      <c r="M1" s="16"/>
      <c r="N1" s="16"/>
      <c r="O1" s="16"/>
      <c r="P1" s="16"/>
    </row>
    <row r="2" spans="1:16" ht="15" customHeight="1">
      <c r="A2" s="16"/>
      <c r="B2" s="132" t="s">
        <v>88</v>
      </c>
      <c r="C2" s="132"/>
      <c r="D2" s="132"/>
      <c r="E2" s="16"/>
      <c r="F2" s="16"/>
      <c r="G2" s="16"/>
      <c r="I2" s="16"/>
      <c r="J2" s="16"/>
      <c r="K2" s="16"/>
      <c r="L2" s="16"/>
      <c r="M2" s="16"/>
      <c r="N2" s="16"/>
      <c r="O2" s="16"/>
      <c r="P2" s="16"/>
    </row>
    <row r="3" spans="1:16" ht="23.25">
      <c r="A3" s="16"/>
      <c r="B3" s="132"/>
      <c r="C3" s="132"/>
      <c r="D3" s="132"/>
      <c r="E3" s="97" t="s">
        <v>93</v>
      </c>
      <c r="F3" s="16"/>
      <c r="G3" s="16"/>
      <c r="I3" s="16"/>
      <c r="J3" s="16"/>
      <c r="K3" s="16"/>
      <c r="L3" s="16"/>
      <c r="M3" s="16"/>
      <c r="N3" s="16"/>
      <c r="O3" s="16"/>
      <c r="P3" s="16"/>
    </row>
    <row r="4" spans="1:16" ht="23.25">
      <c r="A4" s="16"/>
      <c r="B4" s="132"/>
      <c r="C4" s="132"/>
      <c r="D4" s="132"/>
      <c r="E4" s="97"/>
      <c r="F4" s="16"/>
      <c r="G4" s="16"/>
      <c r="I4" s="16"/>
      <c r="J4" s="16"/>
      <c r="K4" s="16"/>
      <c r="L4" s="16"/>
      <c r="M4" s="16"/>
      <c r="N4" s="16"/>
      <c r="O4" s="16"/>
      <c r="P4" s="16"/>
    </row>
    <row r="5" spans="1:16" ht="16.5" thickBot="1">
      <c r="B5" s="17"/>
      <c r="E5" s="16"/>
      <c r="F5" s="16"/>
      <c r="G5" s="16"/>
      <c r="I5" s="16"/>
      <c r="J5" s="16"/>
      <c r="K5" s="16"/>
      <c r="L5" s="16"/>
      <c r="M5" s="16"/>
      <c r="N5" s="16"/>
      <c r="O5" s="16"/>
      <c r="P5" s="16"/>
    </row>
    <row r="6" spans="1:16" ht="19.5" thickBot="1">
      <c r="A6" s="17"/>
      <c r="B6" s="16"/>
      <c r="C6" s="67" t="s">
        <v>62</v>
      </c>
      <c r="D6" s="68"/>
      <c r="E6" s="17"/>
      <c r="F6" s="16"/>
      <c r="G6" s="67" t="s">
        <v>63</v>
      </c>
      <c r="I6" s="16"/>
      <c r="J6" s="16"/>
      <c r="K6" s="78" t="s">
        <v>79</v>
      </c>
      <c r="L6" s="16"/>
      <c r="M6" s="16"/>
      <c r="N6" s="16"/>
      <c r="O6" s="16"/>
      <c r="P6" s="16"/>
    </row>
    <row r="7" spans="1:16" ht="15.75">
      <c r="A7" s="41"/>
      <c r="B7" s="76" t="s">
        <v>33</v>
      </c>
      <c r="C7" s="19" t="s">
        <v>85</v>
      </c>
      <c r="E7" s="22"/>
      <c r="F7" s="76" t="s">
        <v>33</v>
      </c>
      <c r="G7" s="79" t="s">
        <v>86</v>
      </c>
      <c r="I7" s="22"/>
      <c r="J7" s="76" t="s">
        <v>33</v>
      </c>
      <c r="K7" s="80" t="s">
        <v>86</v>
      </c>
      <c r="L7" s="16"/>
      <c r="M7" s="16"/>
      <c r="N7" s="16"/>
      <c r="O7" s="16"/>
      <c r="P7" s="16"/>
    </row>
    <row r="8" spans="1:16">
      <c r="A8" s="106" t="s">
        <v>34</v>
      </c>
      <c r="B8" s="46" t="s">
        <v>38</v>
      </c>
      <c r="C8" s="5">
        <v>1.55</v>
      </c>
      <c r="E8" s="24" t="s">
        <v>34</v>
      </c>
      <c r="F8" s="46" t="s">
        <v>38</v>
      </c>
      <c r="G8" s="5">
        <v>2.2999999999999998</v>
      </c>
      <c r="I8" s="24" t="s">
        <v>80</v>
      </c>
      <c r="J8" s="46" t="s">
        <v>38</v>
      </c>
      <c r="K8" s="6">
        <v>1.8500000000000005</v>
      </c>
      <c r="L8" s="16"/>
      <c r="M8" s="16"/>
      <c r="N8" s="16"/>
      <c r="O8" s="16"/>
      <c r="P8" s="16"/>
    </row>
    <row r="9" spans="1:16">
      <c r="A9" s="106" t="s">
        <v>8</v>
      </c>
      <c r="B9" s="46" t="s">
        <v>39</v>
      </c>
      <c r="C9" s="6">
        <v>30</v>
      </c>
      <c r="E9" s="24" t="s">
        <v>8</v>
      </c>
      <c r="F9" s="46" t="s">
        <v>39</v>
      </c>
      <c r="G9" s="6">
        <v>68</v>
      </c>
      <c r="I9" s="24" t="s">
        <v>8</v>
      </c>
      <c r="J9" s="46" t="s">
        <v>39</v>
      </c>
      <c r="K9" s="6">
        <v>8</v>
      </c>
      <c r="L9" s="16"/>
      <c r="M9" s="16"/>
      <c r="N9" s="16"/>
      <c r="O9" s="16"/>
      <c r="P9" s="16"/>
    </row>
    <row r="10" spans="1:16">
      <c r="A10" s="106" t="s">
        <v>9</v>
      </c>
      <c r="B10" s="46" t="s">
        <v>39</v>
      </c>
      <c r="C10" s="6">
        <v>70</v>
      </c>
      <c r="E10" s="24" t="s">
        <v>11</v>
      </c>
      <c r="F10" s="46" t="s">
        <v>39</v>
      </c>
      <c r="G10" s="6">
        <v>7</v>
      </c>
      <c r="I10" s="24" t="s">
        <v>81</v>
      </c>
      <c r="J10" s="46" t="s">
        <v>39</v>
      </c>
      <c r="K10" s="6">
        <v>3</v>
      </c>
      <c r="L10" s="16"/>
      <c r="M10" s="16"/>
      <c r="N10" s="16"/>
      <c r="O10" s="16"/>
      <c r="P10" s="16"/>
    </row>
    <row r="11" spans="1:16">
      <c r="A11" s="106" t="s">
        <v>10</v>
      </c>
      <c r="B11" s="46" t="s">
        <v>39</v>
      </c>
      <c r="C11" s="6">
        <v>50</v>
      </c>
      <c r="E11" s="24" t="s">
        <v>64</v>
      </c>
      <c r="F11" s="46" t="s">
        <v>39</v>
      </c>
      <c r="G11" s="6">
        <v>0</v>
      </c>
      <c r="I11" s="24" t="s">
        <v>48</v>
      </c>
      <c r="J11" s="46" t="s">
        <v>39</v>
      </c>
      <c r="K11" s="6">
        <v>0.69999999999999984</v>
      </c>
      <c r="L11" s="16"/>
      <c r="M11" s="16"/>
      <c r="N11" s="16"/>
      <c r="O11" s="16"/>
      <c r="P11" s="16"/>
    </row>
    <row r="12" spans="1:16">
      <c r="A12" s="106"/>
      <c r="B12" s="46"/>
      <c r="C12" s="6"/>
      <c r="E12" s="24" t="s">
        <v>103</v>
      </c>
      <c r="F12" s="46" t="s">
        <v>39</v>
      </c>
      <c r="G12" s="6">
        <v>0.06</v>
      </c>
      <c r="I12" s="24" t="s">
        <v>11</v>
      </c>
      <c r="J12" s="46" t="s">
        <v>39</v>
      </c>
      <c r="K12" s="6">
        <v>5</v>
      </c>
      <c r="L12" s="16"/>
      <c r="M12" s="16"/>
      <c r="N12" s="16"/>
      <c r="O12" s="16"/>
      <c r="P12" s="16"/>
    </row>
    <row r="13" spans="1:16">
      <c r="A13" s="106" t="s">
        <v>11</v>
      </c>
      <c r="B13" s="46" t="s">
        <v>40</v>
      </c>
      <c r="C13" s="6">
        <v>5</v>
      </c>
      <c r="E13" s="24" t="s">
        <v>48</v>
      </c>
      <c r="F13" s="46" t="s">
        <v>40</v>
      </c>
      <c r="G13" s="6">
        <v>0.5</v>
      </c>
      <c r="I13" s="24" t="s">
        <v>81</v>
      </c>
      <c r="J13" s="46" t="s">
        <v>40</v>
      </c>
      <c r="K13" s="6">
        <v>0</v>
      </c>
      <c r="L13" s="16"/>
      <c r="M13" s="16"/>
      <c r="N13" s="16"/>
      <c r="O13" s="16"/>
      <c r="P13" s="16"/>
    </row>
    <row r="14" spans="1:16">
      <c r="A14" s="106" t="s">
        <v>46</v>
      </c>
      <c r="B14" s="46" t="s">
        <v>47</v>
      </c>
      <c r="C14" s="6">
        <v>1</v>
      </c>
      <c r="E14" s="24" t="s">
        <v>66</v>
      </c>
      <c r="F14" s="46" t="s">
        <v>76</v>
      </c>
      <c r="G14" s="6">
        <v>1.6</v>
      </c>
      <c r="I14" s="24" t="s">
        <v>82</v>
      </c>
      <c r="J14" s="46" t="s">
        <v>40</v>
      </c>
      <c r="K14" s="6">
        <v>2.3000000000000003E-2</v>
      </c>
      <c r="L14" s="16"/>
      <c r="M14" s="16"/>
      <c r="N14" s="16"/>
      <c r="O14" s="16"/>
      <c r="P14" s="16"/>
    </row>
    <row r="15" spans="1:16">
      <c r="A15" s="106" t="s">
        <v>48</v>
      </c>
      <c r="B15" s="46" t="s">
        <v>40</v>
      </c>
      <c r="C15" s="6">
        <v>0.5</v>
      </c>
      <c r="E15" s="24" t="s">
        <v>67</v>
      </c>
      <c r="F15" s="46" t="s">
        <v>40</v>
      </c>
      <c r="G15" s="6">
        <v>70</v>
      </c>
      <c r="I15" s="24" t="s">
        <v>12</v>
      </c>
      <c r="J15" s="46" t="s">
        <v>40</v>
      </c>
      <c r="K15" s="6">
        <v>3.5000000000000017E-2</v>
      </c>
      <c r="L15" s="16"/>
      <c r="M15" s="16"/>
      <c r="N15" s="16"/>
      <c r="O15" s="16"/>
      <c r="P15" s="16"/>
    </row>
    <row r="16" spans="1:16">
      <c r="A16" s="106" t="s">
        <v>49</v>
      </c>
      <c r="B16" s="46" t="s">
        <v>40</v>
      </c>
      <c r="C16" s="6">
        <v>1</v>
      </c>
      <c r="E16" s="24" t="s">
        <v>68</v>
      </c>
      <c r="F16" s="46" t="s">
        <v>39</v>
      </c>
      <c r="G16" s="6">
        <v>0</v>
      </c>
      <c r="I16" s="24" t="s">
        <v>83</v>
      </c>
      <c r="J16" s="46" t="s">
        <v>39</v>
      </c>
      <c r="K16" s="6">
        <v>80</v>
      </c>
      <c r="L16" s="16"/>
      <c r="M16" s="16"/>
      <c r="N16" s="16"/>
      <c r="O16" s="16"/>
      <c r="P16" s="16"/>
    </row>
    <row r="17" spans="1:43">
      <c r="A17" s="106" t="s">
        <v>12</v>
      </c>
      <c r="B17" s="46" t="s">
        <v>40</v>
      </c>
      <c r="C17" s="6">
        <v>0.125</v>
      </c>
      <c r="E17" s="24" t="s">
        <v>69</v>
      </c>
      <c r="F17" s="46" t="s">
        <v>39</v>
      </c>
      <c r="G17" s="6">
        <v>1.1000000000000001</v>
      </c>
      <c r="I17" s="24" t="s">
        <v>9</v>
      </c>
      <c r="J17" s="46" t="s">
        <v>39</v>
      </c>
      <c r="K17" s="6">
        <v>100</v>
      </c>
      <c r="L17" s="16"/>
      <c r="M17" s="16"/>
      <c r="N17" s="16"/>
      <c r="O17" s="16"/>
      <c r="P17" s="16"/>
    </row>
    <row r="18" spans="1:43">
      <c r="A18" s="106" t="s">
        <v>13</v>
      </c>
      <c r="B18" s="46" t="s">
        <v>85</v>
      </c>
      <c r="C18" s="6">
        <v>1</v>
      </c>
      <c r="E18" s="24" t="s">
        <v>70</v>
      </c>
      <c r="F18" s="46" t="s">
        <v>40</v>
      </c>
      <c r="G18" s="6">
        <v>2.5000000000000001E-2</v>
      </c>
      <c r="I18" s="24" t="s">
        <v>13</v>
      </c>
      <c r="J18" s="46" t="s">
        <v>0</v>
      </c>
      <c r="K18" s="6">
        <v>1</v>
      </c>
      <c r="L18" s="16"/>
      <c r="M18" s="16"/>
      <c r="N18" s="16"/>
      <c r="O18" s="16"/>
      <c r="P18" s="16"/>
    </row>
    <row r="19" spans="1:43" s="1" customFormat="1" ht="15.75">
      <c r="A19" s="41" t="s">
        <v>41</v>
      </c>
      <c r="B19" s="77"/>
      <c r="C19" s="7"/>
      <c r="D19" s="70"/>
      <c r="E19" s="24" t="s">
        <v>106</v>
      </c>
      <c r="F19" s="46" t="s">
        <v>40</v>
      </c>
      <c r="G19" s="6">
        <v>2.5000000000000001E-2</v>
      </c>
      <c r="H19" s="70"/>
      <c r="I19" s="22" t="s">
        <v>41</v>
      </c>
      <c r="J19" s="76"/>
      <c r="K19" s="51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</row>
    <row r="20" spans="1:43" s="1" customFormat="1">
      <c r="A20" s="106" t="s">
        <v>99</v>
      </c>
      <c r="B20" s="46" t="s">
        <v>50</v>
      </c>
      <c r="C20" s="8">
        <f ca="1">'Costo transporte'!F1</f>
        <v>451.5</v>
      </c>
      <c r="D20" s="70"/>
      <c r="E20" s="24" t="s">
        <v>72</v>
      </c>
      <c r="F20" s="46" t="s">
        <v>40</v>
      </c>
      <c r="G20" s="6"/>
      <c r="H20" s="70"/>
      <c r="I20" s="107" t="s">
        <v>99</v>
      </c>
      <c r="J20" s="46" t="s">
        <v>50</v>
      </c>
      <c r="K20" s="8">
        <f ca="1">'Costo transporte'!F1</f>
        <v>451.5</v>
      </c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</row>
    <row r="21" spans="1:43">
      <c r="A21" s="106"/>
      <c r="B21" s="46" t="s">
        <v>51</v>
      </c>
      <c r="C21" s="8">
        <v>88</v>
      </c>
      <c r="E21" s="24" t="s">
        <v>73</v>
      </c>
      <c r="F21" s="46" t="s">
        <v>40</v>
      </c>
      <c r="G21" s="6">
        <v>0.5</v>
      </c>
      <c r="I21" s="106"/>
      <c r="J21" s="46" t="s">
        <v>51</v>
      </c>
      <c r="K21" s="8">
        <v>88</v>
      </c>
      <c r="L21" s="16"/>
      <c r="M21" s="16"/>
      <c r="N21" s="16"/>
      <c r="O21" s="16"/>
      <c r="P21" s="16"/>
    </row>
    <row r="22" spans="1:43">
      <c r="A22" s="106" t="s">
        <v>17</v>
      </c>
      <c r="B22" s="46" t="s">
        <v>43</v>
      </c>
      <c r="C22" s="9">
        <v>1.1599999999999999E-2</v>
      </c>
      <c r="E22" s="24" t="s">
        <v>13</v>
      </c>
      <c r="F22" s="46" t="s">
        <v>0</v>
      </c>
      <c r="G22" s="6">
        <v>1</v>
      </c>
      <c r="I22" s="24" t="s">
        <v>17</v>
      </c>
      <c r="J22" s="46" t="s">
        <v>43</v>
      </c>
      <c r="K22" s="14">
        <v>1.1599999999999999E-2</v>
      </c>
      <c r="L22" s="16"/>
      <c r="M22" s="16"/>
      <c r="N22" s="16"/>
      <c r="O22" s="16"/>
      <c r="P22" s="16"/>
    </row>
    <row r="23" spans="1:43" ht="15.75">
      <c r="A23" s="106" t="s">
        <v>18</v>
      </c>
      <c r="B23" s="46" t="s">
        <v>43</v>
      </c>
      <c r="C23" s="9">
        <v>0.02</v>
      </c>
      <c r="E23" s="22" t="s">
        <v>41</v>
      </c>
      <c r="F23" s="77"/>
      <c r="G23" s="7"/>
      <c r="I23" s="24" t="s">
        <v>18</v>
      </c>
      <c r="J23" s="46" t="s">
        <v>43</v>
      </c>
      <c r="K23" s="14">
        <v>0.02</v>
      </c>
      <c r="L23" s="16"/>
      <c r="M23" s="16"/>
      <c r="N23" s="16"/>
      <c r="O23" s="16"/>
      <c r="P23" s="16"/>
    </row>
    <row r="24" spans="1:43">
      <c r="A24" s="106" t="s">
        <v>74</v>
      </c>
      <c r="B24" s="46" t="s">
        <v>43</v>
      </c>
      <c r="C24" s="9">
        <v>0.03</v>
      </c>
      <c r="E24" s="107" t="s">
        <v>99</v>
      </c>
      <c r="F24" s="46" t="s">
        <v>50</v>
      </c>
      <c r="G24" s="8">
        <f ca="1">'Costo transporte'!F1</f>
        <v>451.5</v>
      </c>
      <c r="I24" s="24" t="s">
        <v>74</v>
      </c>
      <c r="J24" s="46" t="s">
        <v>43</v>
      </c>
      <c r="K24" s="14">
        <v>0.03</v>
      </c>
      <c r="L24" s="16"/>
      <c r="M24" s="16"/>
      <c r="N24" s="16"/>
      <c r="O24" s="16"/>
      <c r="P24" s="16"/>
    </row>
    <row r="25" spans="1:43">
      <c r="A25" s="106" t="s">
        <v>19</v>
      </c>
      <c r="B25" s="46" t="s">
        <v>43</v>
      </c>
      <c r="C25" s="9">
        <v>2.0000000000000004E-2</v>
      </c>
      <c r="E25" s="106"/>
      <c r="F25" s="46" t="s">
        <v>51</v>
      </c>
      <c r="G25" s="8">
        <v>88</v>
      </c>
      <c r="I25" s="24" t="s">
        <v>19</v>
      </c>
      <c r="J25" s="46" t="s">
        <v>43</v>
      </c>
      <c r="K25" s="14">
        <v>2.0000000000000004E-2</v>
      </c>
      <c r="L25" s="16"/>
      <c r="M25" s="16"/>
      <c r="N25" s="16"/>
      <c r="O25" s="16"/>
      <c r="P25" s="16"/>
    </row>
    <row r="26" spans="1:43" ht="15.75">
      <c r="A26" s="41" t="s">
        <v>52</v>
      </c>
      <c r="B26" s="77"/>
      <c r="C26" s="7"/>
      <c r="E26" s="24" t="s">
        <v>17</v>
      </c>
      <c r="F26" s="46" t="s">
        <v>43</v>
      </c>
      <c r="G26" s="63">
        <v>1.1599999999999999E-2</v>
      </c>
      <c r="I26" s="22" t="s">
        <v>52</v>
      </c>
      <c r="J26" s="76"/>
      <c r="K26" s="51"/>
      <c r="L26" s="16"/>
      <c r="M26" s="16"/>
      <c r="N26" s="16"/>
      <c r="O26" s="16"/>
      <c r="P26" s="16"/>
    </row>
    <row r="27" spans="1:43">
      <c r="A27" s="107" t="s">
        <v>44</v>
      </c>
      <c r="B27" s="75" t="s">
        <v>0</v>
      </c>
      <c r="C27" s="10">
        <v>10.55</v>
      </c>
      <c r="E27" s="24" t="s">
        <v>18</v>
      </c>
      <c r="F27" s="46" t="s">
        <v>43</v>
      </c>
      <c r="G27" s="63">
        <v>1.46E-2</v>
      </c>
      <c r="I27" s="26" t="s">
        <v>44</v>
      </c>
      <c r="J27" s="75" t="s">
        <v>0</v>
      </c>
      <c r="K27" s="10">
        <v>10.55</v>
      </c>
      <c r="L27" s="16"/>
      <c r="M27" s="16"/>
      <c r="N27" s="16"/>
      <c r="O27" s="16"/>
      <c r="P27" s="16"/>
    </row>
    <row r="28" spans="1:43">
      <c r="A28" s="106" t="s">
        <v>23</v>
      </c>
      <c r="B28" s="46" t="s">
        <v>0</v>
      </c>
      <c r="C28" s="11">
        <v>34.15</v>
      </c>
      <c r="E28" s="24" t="s">
        <v>74</v>
      </c>
      <c r="F28" s="46" t="s">
        <v>43</v>
      </c>
      <c r="G28" s="9">
        <v>0.02</v>
      </c>
      <c r="I28" s="24" t="s">
        <v>23</v>
      </c>
      <c r="J28" s="46" t="s">
        <v>0</v>
      </c>
      <c r="K28" s="11">
        <v>34.15</v>
      </c>
      <c r="L28" s="16"/>
      <c r="M28" s="16"/>
      <c r="N28" s="16"/>
      <c r="O28" s="16"/>
      <c r="P28" s="16"/>
    </row>
    <row r="29" spans="1:43">
      <c r="A29" s="106" t="s">
        <v>96</v>
      </c>
      <c r="B29" s="46" t="s">
        <v>0</v>
      </c>
      <c r="C29" s="12">
        <v>0.02</v>
      </c>
      <c r="E29" s="24" t="s">
        <v>75</v>
      </c>
      <c r="F29" s="46" t="s">
        <v>43</v>
      </c>
      <c r="G29" s="9">
        <v>1.37E-2</v>
      </c>
      <c r="I29" s="24" t="s">
        <v>24</v>
      </c>
      <c r="J29" s="46" t="s">
        <v>0</v>
      </c>
      <c r="K29" s="12">
        <v>0.02</v>
      </c>
      <c r="L29" s="16"/>
      <c r="M29" s="16"/>
      <c r="N29" s="16"/>
      <c r="O29" s="16"/>
      <c r="P29" s="16"/>
    </row>
    <row r="30" spans="1:43">
      <c r="A30" s="106" t="s">
        <v>25</v>
      </c>
      <c r="B30" s="46" t="s">
        <v>0</v>
      </c>
      <c r="C30" s="12">
        <v>7.2</v>
      </c>
      <c r="E30" s="24" t="s">
        <v>19</v>
      </c>
      <c r="F30" s="46" t="s">
        <v>43</v>
      </c>
      <c r="G30" s="9">
        <v>0.02</v>
      </c>
      <c r="I30" s="24" t="s">
        <v>25</v>
      </c>
      <c r="J30" s="46" t="s">
        <v>0</v>
      </c>
      <c r="K30" s="12">
        <v>7.2</v>
      </c>
      <c r="L30" s="16"/>
      <c r="M30" s="16"/>
      <c r="N30" s="16"/>
      <c r="O30" s="16"/>
      <c r="P30" s="16"/>
    </row>
    <row r="31" spans="1:43" ht="15.75">
      <c r="A31" s="106" t="s">
        <v>26</v>
      </c>
      <c r="B31" s="46" t="s">
        <v>0</v>
      </c>
      <c r="C31" s="12">
        <v>43.15</v>
      </c>
      <c r="E31" s="22" t="s">
        <v>52</v>
      </c>
      <c r="F31" s="77"/>
      <c r="G31" s="7"/>
      <c r="I31" s="24" t="s">
        <v>26</v>
      </c>
      <c r="J31" s="46" t="s">
        <v>0</v>
      </c>
      <c r="K31" s="12">
        <v>43.15</v>
      </c>
      <c r="L31" s="16"/>
      <c r="M31" s="16"/>
      <c r="N31" s="16"/>
      <c r="O31" s="16"/>
      <c r="P31" s="16"/>
    </row>
    <row r="32" spans="1:43">
      <c r="A32" s="106" t="s">
        <v>53</v>
      </c>
      <c r="B32" s="46" t="s">
        <v>0</v>
      </c>
      <c r="C32" s="12">
        <v>2.5499999999999998</v>
      </c>
      <c r="E32" s="26" t="s">
        <v>44</v>
      </c>
      <c r="F32" s="75" t="s">
        <v>0</v>
      </c>
      <c r="G32" s="10">
        <v>10.55</v>
      </c>
      <c r="I32" s="24" t="s">
        <v>53</v>
      </c>
      <c r="J32" s="46" t="s">
        <v>0</v>
      </c>
      <c r="K32" s="12">
        <v>2.5499999999999998</v>
      </c>
      <c r="L32" s="16"/>
      <c r="M32" s="16"/>
      <c r="N32" s="16"/>
      <c r="O32" s="16"/>
      <c r="P32" s="16"/>
    </row>
    <row r="33" spans="1:16">
      <c r="A33" s="106" t="s">
        <v>27</v>
      </c>
      <c r="B33" s="46" t="s">
        <v>0</v>
      </c>
      <c r="C33" s="12">
        <v>2.5</v>
      </c>
      <c r="E33" s="24" t="s">
        <v>23</v>
      </c>
      <c r="F33" s="46" t="s">
        <v>0</v>
      </c>
      <c r="G33" s="11">
        <v>34.15</v>
      </c>
      <c r="I33" s="24" t="s">
        <v>27</v>
      </c>
      <c r="J33" s="46" t="s">
        <v>0</v>
      </c>
      <c r="K33" s="12">
        <v>2.5</v>
      </c>
      <c r="L33" s="16"/>
      <c r="M33" s="16"/>
      <c r="N33" s="16"/>
      <c r="O33" s="16"/>
      <c r="P33" s="16"/>
    </row>
    <row r="34" spans="1:16">
      <c r="A34" s="106" t="s">
        <v>28</v>
      </c>
      <c r="B34" s="46" t="s">
        <v>0</v>
      </c>
      <c r="C34" s="6">
        <v>0.95</v>
      </c>
      <c r="E34" s="24" t="s">
        <v>24</v>
      </c>
      <c r="F34" s="46" t="s">
        <v>0</v>
      </c>
      <c r="G34" s="12">
        <v>0.02</v>
      </c>
      <c r="I34" s="24" t="s">
        <v>28</v>
      </c>
      <c r="J34" s="46" t="s">
        <v>0</v>
      </c>
      <c r="K34" s="12">
        <v>0.95</v>
      </c>
      <c r="L34" s="16"/>
      <c r="M34" s="16"/>
      <c r="N34" s="16"/>
      <c r="O34" s="16"/>
      <c r="P34" s="16"/>
    </row>
    <row r="35" spans="1:16">
      <c r="A35" s="108" t="s">
        <v>29</v>
      </c>
      <c r="B35" s="52" t="s">
        <v>0</v>
      </c>
      <c r="C35" s="13">
        <v>0</v>
      </c>
      <c r="E35" s="24" t="s">
        <v>25</v>
      </c>
      <c r="F35" s="46" t="s">
        <v>0</v>
      </c>
      <c r="G35" s="12">
        <v>7.2</v>
      </c>
      <c r="I35" s="25" t="s">
        <v>29</v>
      </c>
      <c r="J35" s="52" t="s">
        <v>0</v>
      </c>
      <c r="K35" s="109">
        <v>0</v>
      </c>
      <c r="L35" s="16"/>
      <c r="M35" s="16"/>
      <c r="N35" s="16"/>
      <c r="O35" s="16"/>
      <c r="P35" s="16"/>
    </row>
    <row r="36" spans="1:16">
      <c r="A36" s="27"/>
      <c r="B36" s="68"/>
      <c r="C36" s="69"/>
      <c r="E36" s="24" t="s">
        <v>26</v>
      </c>
      <c r="F36" s="46" t="s">
        <v>0</v>
      </c>
      <c r="G36" s="12">
        <v>43.15</v>
      </c>
      <c r="I36" s="16"/>
      <c r="J36" s="16"/>
      <c r="K36" s="16"/>
      <c r="L36" s="16"/>
      <c r="M36" s="16"/>
      <c r="N36" s="16"/>
      <c r="O36" s="16"/>
      <c r="P36" s="16"/>
    </row>
    <row r="37" spans="1:16">
      <c r="A37" s="16"/>
      <c r="B37" s="16"/>
      <c r="C37" s="16"/>
      <c r="E37" s="24" t="s">
        <v>53</v>
      </c>
      <c r="F37" s="46" t="s">
        <v>0</v>
      </c>
      <c r="G37" s="12">
        <v>2.5499999999999998</v>
      </c>
      <c r="I37" s="16"/>
      <c r="J37" s="16"/>
      <c r="K37" s="16"/>
      <c r="L37" s="16"/>
      <c r="M37" s="16"/>
      <c r="N37" s="16"/>
      <c r="O37" s="16"/>
      <c r="P37" s="16"/>
    </row>
    <row r="38" spans="1:16">
      <c r="A38" s="16"/>
      <c r="B38" s="16"/>
      <c r="C38" s="16"/>
      <c r="E38" s="24" t="s">
        <v>27</v>
      </c>
      <c r="F38" s="46" t="s">
        <v>0</v>
      </c>
      <c r="G38" s="12">
        <v>2.5</v>
      </c>
      <c r="I38" s="16"/>
      <c r="J38" s="16"/>
      <c r="K38" s="16"/>
      <c r="L38" s="16"/>
      <c r="M38" s="16"/>
      <c r="N38" s="16"/>
      <c r="O38" s="16"/>
      <c r="P38" s="16"/>
    </row>
    <row r="39" spans="1:16">
      <c r="A39" s="16"/>
      <c r="B39" s="16"/>
      <c r="C39" s="16"/>
      <c r="E39" s="24" t="s">
        <v>28</v>
      </c>
      <c r="F39" s="46" t="s">
        <v>0</v>
      </c>
      <c r="G39" s="6">
        <v>0.95</v>
      </c>
      <c r="I39" s="16"/>
      <c r="J39" s="16"/>
      <c r="K39" s="16"/>
      <c r="L39" s="16"/>
      <c r="M39" s="16"/>
      <c r="N39" s="16"/>
      <c r="O39" s="16"/>
      <c r="P39" s="16"/>
    </row>
    <row r="40" spans="1:16">
      <c r="A40" s="16"/>
      <c r="B40" s="16"/>
      <c r="C40" s="16"/>
      <c r="E40" s="25" t="s">
        <v>29</v>
      </c>
      <c r="F40" s="52" t="s">
        <v>0</v>
      </c>
      <c r="G40" s="13">
        <v>0</v>
      </c>
      <c r="I40" s="16"/>
      <c r="J40" s="16"/>
      <c r="K40" s="16"/>
      <c r="L40" s="16"/>
      <c r="M40" s="16"/>
      <c r="N40" s="16"/>
      <c r="O40" s="16"/>
      <c r="P40" s="16"/>
    </row>
    <row r="41" spans="1:16">
      <c r="A41" s="16"/>
      <c r="B41" s="16"/>
      <c r="C41" s="16"/>
      <c r="E41" s="16"/>
      <c r="F41" s="16"/>
      <c r="G41" s="16"/>
      <c r="I41" s="16"/>
      <c r="J41" s="16"/>
      <c r="K41" s="16"/>
      <c r="L41" s="16"/>
      <c r="M41" s="16"/>
      <c r="N41" s="16"/>
      <c r="O41" s="16"/>
      <c r="P41" s="16"/>
    </row>
    <row r="42" spans="1:16">
      <c r="A42" s="16"/>
      <c r="B42" s="16"/>
      <c r="C42" s="16"/>
      <c r="E42" s="16"/>
      <c r="F42" s="16"/>
      <c r="G42" s="16"/>
      <c r="I42" s="16"/>
      <c r="J42" s="16"/>
      <c r="K42" s="16"/>
      <c r="L42" s="16"/>
      <c r="M42" s="16"/>
      <c r="N42" s="16"/>
      <c r="O42" s="16"/>
      <c r="P42" s="16"/>
    </row>
    <row r="43" spans="1:16">
      <c r="A43" s="16"/>
      <c r="B43" s="16"/>
      <c r="C43" s="16"/>
      <c r="E43" s="16"/>
      <c r="F43" s="16"/>
      <c r="G43" s="16"/>
      <c r="I43" s="16"/>
      <c r="J43" s="16"/>
      <c r="K43" s="16"/>
      <c r="L43" s="16"/>
      <c r="M43" s="16"/>
      <c r="N43" s="16"/>
      <c r="O43" s="16"/>
      <c r="P43" s="16"/>
    </row>
    <row r="44" spans="1:16">
      <c r="A44" s="16"/>
      <c r="B44" s="16"/>
      <c r="C44" s="16"/>
      <c r="E44" s="16"/>
      <c r="F44" s="16"/>
      <c r="G44" s="16"/>
      <c r="I44" s="16"/>
      <c r="J44" s="16"/>
      <c r="K44" s="16"/>
      <c r="L44" s="16"/>
      <c r="M44" s="16"/>
      <c r="N44" s="16"/>
      <c r="O44" s="16"/>
      <c r="P44" s="16"/>
    </row>
    <row r="45" spans="1:16">
      <c r="A45" s="16"/>
      <c r="B45" s="16"/>
      <c r="C45" s="16"/>
      <c r="E45" s="16"/>
      <c r="F45" s="16"/>
      <c r="G45" s="16"/>
      <c r="I45" s="16"/>
      <c r="J45" s="16"/>
      <c r="K45" s="16"/>
      <c r="L45" s="16"/>
      <c r="M45" s="16"/>
      <c r="N45" s="16"/>
      <c r="O45" s="16"/>
      <c r="P45" s="16"/>
    </row>
    <row r="46" spans="1:16">
      <c r="A46" s="16"/>
      <c r="B46" s="16"/>
      <c r="C46" s="16"/>
      <c r="E46" s="16"/>
      <c r="F46" s="16"/>
      <c r="G46" s="16"/>
      <c r="I46" s="16"/>
      <c r="J46" s="16"/>
      <c r="K46" s="16"/>
      <c r="L46" s="16"/>
      <c r="M46" s="16"/>
      <c r="N46" s="16"/>
      <c r="O46" s="16"/>
      <c r="P46" s="16"/>
    </row>
    <row r="47" spans="1:16">
      <c r="A47" s="16"/>
      <c r="B47" s="16"/>
      <c r="C47" s="16"/>
      <c r="E47" s="16"/>
      <c r="F47" s="16"/>
      <c r="G47" s="16"/>
      <c r="I47" s="16"/>
      <c r="J47" s="16"/>
      <c r="K47" s="16"/>
      <c r="L47" s="16"/>
      <c r="M47" s="16"/>
      <c r="N47" s="16"/>
      <c r="O47" s="16"/>
      <c r="P47" s="16"/>
    </row>
    <row r="48" spans="1:16">
      <c r="A48" s="16"/>
      <c r="B48" s="16"/>
      <c r="C48" s="16"/>
      <c r="E48" s="16"/>
      <c r="F48" s="16"/>
      <c r="G48" s="16"/>
      <c r="I48" s="16"/>
      <c r="J48" s="16"/>
      <c r="K48" s="16"/>
      <c r="L48" s="16"/>
      <c r="M48" s="16"/>
      <c r="N48" s="16"/>
      <c r="O48" s="16"/>
      <c r="P48" s="16"/>
    </row>
    <row r="49" spans="1:16">
      <c r="A49" s="16"/>
      <c r="B49" s="16"/>
      <c r="C49" s="16"/>
      <c r="E49" s="16"/>
      <c r="F49" s="16"/>
      <c r="G49" s="16"/>
      <c r="I49" s="16"/>
      <c r="J49" s="16"/>
      <c r="K49" s="16"/>
      <c r="L49" s="16"/>
      <c r="M49" s="16"/>
      <c r="N49" s="16"/>
      <c r="O49" s="16"/>
      <c r="P49" s="16"/>
    </row>
    <row r="50" spans="1:16">
      <c r="A50" s="16"/>
      <c r="B50" s="16"/>
      <c r="C50" s="16"/>
      <c r="E50" s="16"/>
      <c r="F50" s="16"/>
      <c r="G50" s="16"/>
      <c r="I50" s="16"/>
      <c r="J50" s="16"/>
      <c r="K50" s="16"/>
      <c r="L50" s="16"/>
      <c r="M50" s="16"/>
      <c r="N50" s="16"/>
      <c r="O50" s="16"/>
      <c r="P50" s="16"/>
    </row>
    <row r="51" spans="1:16">
      <c r="A51" s="27"/>
      <c r="B51" s="28"/>
      <c r="C51" s="16"/>
      <c r="I51" s="16"/>
      <c r="J51" s="16"/>
      <c r="K51" s="16"/>
    </row>
    <row r="52" spans="1:16">
      <c r="A52" s="27"/>
      <c r="B52" s="28"/>
      <c r="C52" s="16"/>
    </row>
    <row r="53" spans="1:16">
      <c r="A53" s="27"/>
      <c r="B53" s="28"/>
      <c r="C53" s="16"/>
    </row>
    <row r="54" spans="1:16">
      <c r="A54" s="27"/>
      <c r="B54" s="28"/>
      <c r="C54" s="16"/>
    </row>
    <row r="55" spans="1:16">
      <c r="A55" s="27"/>
      <c r="B55" s="28"/>
      <c r="C55" s="16"/>
    </row>
    <row r="56" spans="1:16" ht="15.75">
      <c r="A56" s="71"/>
      <c r="B56" s="28"/>
      <c r="C56" s="16"/>
    </row>
    <row r="57" spans="1:16">
      <c r="A57" s="27"/>
      <c r="B57" s="72"/>
      <c r="C57" s="16"/>
    </row>
    <row r="58" spans="1:16">
      <c r="A58" s="27"/>
      <c r="B58" s="72"/>
      <c r="C58" s="16"/>
    </row>
    <row r="59" spans="1:16">
      <c r="A59" s="27"/>
      <c r="B59" s="72"/>
      <c r="C59" s="16"/>
    </row>
    <row r="60" spans="1:16">
      <c r="A60" s="27"/>
      <c r="B60" s="72"/>
      <c r="C60" s="16"/>
    </row>
    <row r="61" spans="1:16">
      <c r="A61" s="27"/>
      <c r="B61" s="72"/>
      <c r="C61" s="16"/>
    </row>
    <row r="62" spans="1:16">
      <c r="A62" s="27"/>
      <c r="B62" s="72"/>
      <c r="C62" s="16"/>
    </row>
    <row r="63" spans="1:16">
      <c r="A63" s="27"/>
      <c r="B63" s="73"/>
      <c r="C63" s="16"/>
    </row>
    <row r="64" spans="1:16">
      <c r="A64" s="27"/>
      <c r="B64" s="73"/>
      <c r="C64" s="16"/>
    </row>
    <row r="65" spans="1:3">
      <c r="A65" s="27"/>
      <c r="B65" s="73"/>
      <c r="C65" s="16"/>
    </row>
    <row r="66" spans="1:3" ht="15.75">
      <c r="A66" s="71"/>
      <c r="B66" s="28"/>
      <c r="C66" s="16"/>
    </row>
    <row r="67" spans="1:3">
      <c r="A67" s="27"/>
      <c r="B67" s="74"/>
      <c r="C67" s="16"/>
    </row>
    <row r="68" spans="1:3">
      <c r="A68" s="27"/>
      <c r="B68" s="74"/>
      <c r="C68" s="16"/>
    </row>
    <row r="69" spans="1:3">
      <c r="A69" s="27"/>
      <c r="B69" s="69"/>
      <c r="C69" s="16"/>
    </row>
    <row r="70" spans="1:3">
      <c r="A70" s="27"/>
      <c r="B70" s="69"/>
      <c r="C70" s="16"/>
    </row>
    <row r="71" spans="1:3">
      <c r="A71" s="27"/>
      <c r="B71" s="69"/>
      <c r="C71" s="16"/>
    </row>
    <row r="72" spans="1:3">
      <c r="A72" s="27"/>
      <c r="B72" s="69"/>
      <c r="C72" s="16"/>
    </row>
    <row r="73" spans="1:3">
      <c r="A73" s="27"/>
      <c r="B73" s="69"/>
      <c r="C73" s="16"/>
    </row>
    <row r="74" spans="1:3">
      <c r="A74" s="27"/>
      <c r="B74" s="28"/>
      <c r="C74" s="16"/>
    </row>
    <row r="75" spans="1:3">
      <c r="A75" s="3"/>
      <c r="B75" s="21"/>
    </row>
    <row r="76" spans="1:3">
      <c r="A76" s="3"/>
      <c r="B76" s="21"/>
    </row>
    <row r="77" spans="1:3">
      <c r="A77" s="2"/>
      <c r="B77" s="2"/>
    </row>
    <row r="78" spans="1:3">
      <c r="A78" s="2"/>
      <c r="B78" s="2"/>
    </row>
    <row r="79" spans="1:3">
      <c r="A79" s="2"/>
      <c r="B79" s="2"/>
    </row>
    <row r="80" spans="1:3">
      <c r="A80" s="2"/>
      <c r="B80" s="2"/>
    </row>
  </sheetData>
  <sheetProtection password="8992" sheet="1" objects="1" scenarios="1"/>
  <mergeCells count="1">
    <mergeCell ref="B2:D4"/>
  </mergeCells>
  <phoneticPr fontId="0" type="noConversion"/>
  <pageMargins left="0.7" right="0.7" top="0.75" bottom="0.75" header="0.3" footer="0.3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T108"/>
  <sheetViews>
    <sheetView zoomScale="70" zoomScaleNormal="70" workbookViewId="0">
      <selection activeCell="G28" sqref="G28"/>
    </sheetView>
  </sheetViews>
  <sheetFormatPr baseColWidth="10" defaultRowHeight="15"/>
  <cols>
    <col min="1" max="1" width="19.140625" bestFit="1" customWidth="1"/>
    <col min="2" max="2" width="13.85546875" bestFit="1" customWidth="1"/>
    <col min="4" max="4" width="11.42578125" style="16"/>
    <col min="5" max="5" width="23.28515625" bestFit="1" customWidth="1"/>
    <col min="6" max="6" width="14" bestFit="1" customWidth="1"/>
    <col min="8" max="8" width="11.42578125" style="16"/>
    <col min="9" max="9" width="20" bestFit="1" customWidth="1"/>
    <col min="10" max="10" width="13.28515625" bestFit="1" customWidth="1"/>
    <col min="12" max="20" width="11.42578125" style="16"/>
  </cols>
  <sheetData>
    <row r="1" spans="1:11" ht="18" customHeight="1">
      <c r="A1" s="16"/>
      <c r="B1" s="16"/>
      <c r="C1" s="16"/>
      <c r="E1" s="16"/>
      <c r="F1" s="16"/>
      <c r="G1" s="16"/>
      <c r="I1" s="16"/>
      <c r="J1" s="16"/>
      <c r="K1" s="16"/>
    </row>
    <row r="2" spans="1:11" ht="15" customHeight="1">
      <c r="A2" s="16"/>
      <c r="B2" s="16"/>
      <c r="C2" s="16"/>
      <c r="E2" s="132" t="s">
        <v>88</v>
      </c>
      <c r="F2" s="132"/>
      <c r="G2" s="16"/>
      <c r="I2" s="16"/>
      <c r="J2" s="16"/>
      <c r="K2" s="16"/>
    </row>
    <row r="3" spans="1:11" ht="23.25">
      <c r="A3" s="16"/>
      <c r="B3" s="16"/>
      <c r="C3" s="16"/>
      <c r="E3" s="132"/>
      <c r="F3" s="132"/>
      <c r="G3" s="16"/>
      <c r="H3" s="81" t="s">
        <v>92</v>
      </c>
      <c r="I3" s="16"/>
      <c r="J3" s="16"/>
      <c r="K3" s="16"/>
    </row>
    <row r="4" spans="1:11">
      <c r="A4" s="16"/>
      <c r="B4" s="16"/>
      <c r="C4" s="16"/>
      <c r="E4" s="132"/>
      <c r="F4" s="132"/>
      <c r="G4" s="16"/>
      <c r="I4" s="16"/>
      <c r="J4" s="16"/>
      <c r="K4" s="16"/>
    </row>
    <row r="5" spans="1:11">
      <c r="A5" s="16"/>
      <c r="B5" s="16"/>
      <c r="C5" s="16"/>
      <c r="E5" s="132"/>
      <c r="F5" s="132"/>
      <c r="G5" s="16"/>
      <c r="I5" s="16"/>
      <c r="J5" s="16"/>
      <c r="K5" s="16"/>
    </row>
    <row r="6" spans="1:11" ht="15.75" thickBot="1">
      <c r="A6" s="16"/>
      <c r="B6" s="16"/>
      <c r="C6" s="82"/>
      <c r="E6" s="16"/>
      <c r="F6" s="16"/>
      <c r="G6" s="16"/>
      <c r="I6" s="16"/>
      <c r="J6" s="16"/>
      <c r="K6" s="16"/>
    </row>
    <row r="7" spans="1:11" ht="16.5" thickBot="1">
      <c r="A7" s="37" t="s">
        <v>32</v>
      </c>
      <c r="B7" s="38" t="s">
        <v>33</v>
      </c>
      <c r="C7" s="39" t="s">
        <v>62</v>
      </c>
      <c r="D7" s="68"/>
      <c r="E7" s="37" t="s">
        <v>32</v>
      </c>
      <c r="F7" s="38" t="s">
        <v>33</v>
      </c>
      <c r="G7" s="40" t="s">
        <v>63</v>
      </c>
      <c r="I7" s="37" t="s">
        <v>32</v>
      </c>
      <c r="J7" s="38" t="s">
        <v>33</v>
      </c>
      <c r="K7" s="40" t="s">
        <v>79</v>
      </c>
    </row>
    <row r="8" spans="1:11">
      <c r="A8" s="53" t="s">
        <v>34</v>
      </c>
      <c r="B8" s="33" t="s">
        <v>35</v>
      </c>
      <c r="C8" s="54">
        <v>39.840000000000003</v>
      </c>
      <c r="E8" s="53" t="s">
        <v>34</v>
      </c>
      <c r="F8" s="33" t="s">
        <v>35</v>
      </c>
      <c r="G8" s="54">
        <v>39.840000000000003</v>
      </c>
      <c r="I8" s="53" t="s">
        <v>34</v>
      </c>
      <c r="J8" s="33" t="s">
        <v>35</v>
      </c>
      <c r="K8" s="54">
        <v>39.840000000000003</v>
      </c>
    </row>
    <row r="9" spans="1:11">
      <c r="A9" s="29" t="s">
        <v>8</v>
      </c>
      <c r="B9" s="30" t="s">
        <v>35</v>
      </c>
      <c r="C9" s="34">
        <v>4.8</v>
      </c>
      <c r="E9" s="29" t="s">
        <v>94</v>
      </c>
      <c r="F9" s="30" t="s">
        <v>35</v>
      </c>
      <c r="G9" s="34">
        <v>0.61999999999999977</v>
      </c>
      <c r="I9" s="29" t="s">
        <v>8</v>
      </c>
      <c r="J9" s="30" t="s">
        <v>90</v>
      </c>
      <c r="K9" s="34">
        <v>5.25</v>
      </c>
    </row>
    <row r="10" spans="1:11">
      <c r="A10" s="29" t="s">
        <v>9</v>
      </c>
      <c r="B10" s="30" t="s">
        <v>35</v>
      </c>
      <c r="C10" s="34">
        <v>0.49</v>
      </c>
      <c r="E10" s="29" t="s">
        <v>11</v>
      </c>
      <c r="F10" s="30" t="s">
        <v>35</v>
      </c>
      <c r="G10" s="34">
        <v>3.7999999999999985</v>
      </c>
      <c r="I10" s="29" t="s">
        <v>81</v>
      </c>
      <c r="J10" s="30" t="s">
        <v>89</v>
      </c>
      <c r="K10" s="34">
        <v>4.0999999999999996</v>
      </c>
    </row>
    <row r="11" spans="1:11">
      <c r="A11" s="29" t="s">
        <v>10</v>
      </c>
      <c r="B11" s="30" t="s">
        <v>35</v>
      </c>
      <c r="C11" s="34">
        <v>0.63</v>
      </c>
      <c r="E11" s="29" t="s">
        <v>64</v>
      </c>
      <c r="F11" s="30" t="s">
        <v>35</v>
      </c>
      <c r="G11" s="35">
        <v>7</v>
      </c>
      <c r="I11" s="29" t="s">
        <v>48</v>
      </c>
      <c r="J11" s="30" t="s">
        <v>89</v>
      </c>
      <c r="K11" s="35">
        <v>8.9</v>
      </c>
    </row>
    <row r="12" spans="1:11">
      <c r="A12" s="29" t="s">
        <v>57</v>
      </c>
      <c r="B12" s="30" t="s">
        <v>35</v>
      </c>
      <c r="C12" s="34">
        <v>0.42</v>
      </c>
      <c r="E12" s="29" t="s">
        <v>103</v>
      </c>
      <c r="F12" s="30" t="s">
        <v>35</v>
      </c>
      <c r="G12" s="35">
        <v>237.6</v>
      </c>
      <c r="I12" s="29" t="s">
        <v>11</v>
      </c>
      <c r="J12" s="30" t="s">
        <v>89</v>
      </c>
      <c r="K12" s="35">
        <v>3.8</v>
      </c>
    </row>
    <row r="13" spans="1:11">
      <c r="A13" s="29" t="s">
        <v>11</v>
      </c>
      <c r="B13" s="30" t="s">
        <v>35</v>
      </c>
      <c r="C13" s="34">
        <v>3.7999999999999985</v>
      </c>
      <c r="E13" s="29" t="s">
        <v>48</v>
      </c>
      <c r="F13" s="30" t="s">
        <v>35</v>
      </c>
      <c r="G13" s="34">
        <v>8.9000000000000021</v>
      </c>
      <c r="I13" s="29" t="s">
        <v>81</v>
      </c>
      <c r="J13" s="30" t="s">
        <v>89</v>
      </c>
      <c r="K13" s="35">
        <v>4.0999999999999996</v>
      </c>
    </row>
    <row r="14" spans="1:11">
      <c r="A14" s="29" t="s">
        <v>46</v>
      </c>
      <c r="B14" s="30" t="s">
        <v>35</v>
      </c>
      <c r="C14" s="34">
        <v>8.6</v>
      </c>
      <c r="E14" s="29" t="s">
        <v>66</v>
      </c>
      <c r="F14" s="30" t="s">
        <v>35</v>
      </c>
      <c r="G14" s="34">
        <v>3.7000000000000015</v>
      </c>
      <c r="I14" s="29" t="s">
        <v>82</v>
      </c>
      <c r="J14" s="30" t="s">
        <v>89</v>
      </c>
      <c r="K14" s="34">
        <v>68</v>
      </c>
    </row>
    <row r="15" spans="1:11">
      <c r="A15" s="29" t="s">
        <v>48</v>
      </c>
      <c r="B15" s="30" t="s">
        <v>35</v>
      </c>
      <c r="C15" s="34">
        <v>8.9000000000000021</v>
      </c>
      <c r="E15" s="29" t="s">
        <v>67</v>
      </c>
      <c r="F15" s="30" t="s">
        <v>35</v>
      </c>
      <c r="G15" s="34">
        <v>0.56000000000000005</v>
      </c>
      <c r="I15" s="29" t="s">
        <v>91</v>
      </c>
      <c r="J15" s="30" t="s">
        <v>89</v>
      </c>
      <c r="K15" s="34">
        <v>14.2</v>
      </c>
    </row>
    <row r="16" spans="1:11">
      <c r="A16" s="29" t="s">
        <v>49</v>
      </c>
      <c r="B16" s="30" t="s">
        <v>35</v>
      </c>
      <c r="C16" s="34">
        <v>6.9</v>
      </c>
      <c r="E16" s="29" t="s">
        <v>104</v>
      </c>
      <c r="F16" s="30" t="s">
        <v>35</v>
      </c>
      <c r="G16" s="34">
        <v>0.33999999999999991</v>
      </c>
      <c r="I16" s="29" t="s">
        <v>83</v>
      </c>
      <c r="J16" s="30" t="s">
        <v>90</v>
      </c>
      <c r="K16" s="34">
        <v>0.63</v>
      </c>
    </row>
    <row r="17" spans="1:11">
      <c r="A17" s="29" t="s">
        <v>12</v>
      </c>
      <c r="B17" s="30" t="s">
        <v>35</v>
      </c>
      <c r="C17" s="34">
        <v>14.2</v>
      </c>
      <c r="E17" s="29" t="s">
        <v>69</v>
      </c>
      <c r="F17" s="30" t="s">
        <v>35</v>
      </c>
      <c r="G17" s="45">
        <v>9.59</v>
      </c>
      <c r="I17" s="29" t="s">
        <v>9</v>
      </c>
      <c r="J17" s="30" t="s">
        <v>90</v>
      </c>
      <c r="K17" s="34">
        <v>0.49</v>
      </c>
    </row>
    <row r="18" spans="1:11" ht="15.75" thickBot="1">
      <c r="A18" s="31" t="s">
        <v>13</v>
      </c>
      <c r="B18" s="32" t="s">
        <v>35</v>
      </c>
      <c r="C18" s="55">
        <v>70</v>
      </c>
      <c r="E18" s="29" t="s">
        <v>12</v>
      </c>
      <c r="F18" s="30" t="s">
        <v>35</v>
      </c>
      <c r="G18" s="34">
        <v>14.2</v>
      </c>
      <c r="I18" s="31" t="s">
        <v>13</v>
      </c>
      <c r="J18" s="56" t="s">
        <v>37</v>
      </c>
      <c r="K18" s="55">
        <v>68</v>
      </c>
    </row>
    <row r="19" spans="1:11">
      <c r="A19" s="83"/>
      <c r="B19" s="83"/>
      <c r="C19" s="84"/>
      <c r="E19" s="29" t="s">
        <v>105</v>
      </c>
      <c r="F19" s="30" t="s">
        <v>35</v>
      </c>
      <c r="G19" s="34">
        <v>315</v>
      </c>
      <c r="I19" s="27"/>
      <c r="J19" s="27"/>
      <c r="K19" s="28"/>
    </row>
    <row r="20" spans="1:11">
      <c r="A20" s="28"/>
      <c r="B20" s="28"/>
      <c r="C20" s="28"/>
      <c r="E20" s="29" t="s">
        <v>72</v>
      </c>
      <c r="F20" s="30" t="s">
        <v>35</v>
      </c>
      <c r="G20" s="34">
        <v>15.009999999999996</v>
      </c>
      <c r="I20" s="16"/>
      <c r="J20" s="16"/>
      <c r="K20" s="16"/>
    </row>
    <row r="21" spans="1:11" ht="18.75" customHeight="1">
      <c r="A21" s="137" t="s">
        <v>54</v>
      </c>
      <c r="B21" s="90" t="s">
        <v>36</v>
      </c>
      <c r="C21" s="91">
        <v>120</v>
      </c>
      <c r="E21" s="29" t="s">
        <v>73</v>
      </c>
      <c r="F21" s="30" t="s">
        <v>35</v>
      </c>
      <c r="G21" s="34">
        <v>33</v>
      </c>
      <c r="I21" s="16"/>
      <c r="J21" s="16"/>
      <c r="K21" s="16"/>
    </row>
    <row r="22" spans="1:11" ht="15.75" thickBot="1">
      <c r="A22" s="138"/>
      <c r="B22" s="93" t="s">
        <v>37</v>
      </c>
      <c r="C22" s="94">
        <f>C21/10</f>
        <v>12</v>
      </c>
      <c r="E22" s="31" t="s">
        <v>13</v>
      </c>
      <c r="F22" s="32" t="s">
        <v>35</v>
      </c>
      <c r="G22" s="36">
        <v>64</v>
      </c>
      <c r="I22" s="16"/>
      <c r="J22" s="16"/>
      <c r="K22" s="16"/>
    </row>
    <row r="23" spans="1:11" ht="18.75" customHeight="1">
      <c r="A23" s="137" t="s">
        <v>55</v>
      </c>
      <c r="B23" s="90" t="s">
        <v>36</v>
      </c>
      <c r="C23" s="91">
        <v>220</v>
      </c>
      <c r="E23" s="16"/>
      <c r="F23" s="16"/>
      <c r="G23" s="16"/>
      <c r="I23" s="16"/>
      <c r="J23" s="16"/>
      <c r="K23" s="16"/>
    </row>
    <row r="24" spans="1:11">
      <c r="A24" s="138"/>
      <c r="B24" s="92" t="s">
        <v>37</v>
      </c>
      <c r="C24" s="94">
        <f>C23/10</f>
        <v>22</v>
      </c>
      <c r="E24" s="16"/>
      <c r="F24" s="16"/>
      <c r="G24" s="16"/>
      <c r="I24" s="16"/>
      <c r="J24" s="16"/>
      <c r="K24" s="16"/>
    </row>
    <row r="25" spans="1:11">
      <c r="A25" s="135" t="s">
        <v>56</v>
      </c>
      <c r="B25" s="85" t="s">
        <v>42</v>
      </c>
      <c r="C25" s="86">
        <f>88*1.3</f>
        <v>114.4</v>
      </c>
      <c r="E25" s="16"/>
      <c r="F25" s="16"/>
      <c r="G25" s="16"/>
      <c r="I25" s="16"/>
      <c r="J25" s="16"/>
      <c r="K25" s="16"/>
    </row>
    <row r="26" spans="1:11">
      <c r="A26" s="136"/>
      <c r="B26" s="88" t="s">
        <v>36</v>
      </c>
      <c r="C26" s="89">
        <f>C25/C30</f>
        <v>10.052724077328646</v>
      </c>
      <c r="E26" s="16"/>
      <c r="F26" s="16"/>
      <c r="G26" s="16"/>
      <c r="I26" s="16"/>
      <c r="J26" s="16"/>
      <c r="K26" s="16"/>
    </row>
    <row r="27" spans="1:11" ht="18.75" customHeight="1">
      <c r="A27" s="137" t="s">
        <v>84</v>
      </c>
      <c r="B27" s="90" t="s">
        <v>36</v>
      </c>
      <c r="C27" s="91">
        <v>120</v>
      </c>
      <c r="E27" s="16"/>
      <c r="F27" s="16"/>
      <c r="G27" s="16"/>
      <c r="I27" s="16"/>
      <c r="J27" s="16"/>
      <c r="K27" s="16"/>
    </row>
    <row r="28" spans="1:11">
      <c r="A28" s="138"/>
      <c r="B28" s="93" t="s">
        <v>37</v>
      </c>
      <c r="C28" s="94">
        <f>C27/10</f>
        <v>12</v>
      </c>
      <c r="E28" s="16"/>
      <c r="F28" s="16"/>
      <c r="G28" s="16"/>
      <c r="I28" s="16"/>
      <c r="J28" s="16"/>
      <c r="K28" s="16"/>
    </row>
    <row r="29" spans="1:11">
      <c r="A29" s="133" t="s">
        <v>97</v>
      </c>
      <c r="B29" s="85" t="s">
        <v>98</v>
      </c>
      <c r="C29" s="104">
        <v>9.6</v>
      </c>
      <c r="E29" s="16"/>
      <c r="F29" s="16"/>
      <c r="G29" s="16"/>
      <c r="I29" s="16"/>
      <c r="J29" s="16"/>
      <c r="K29" s="16"/>
    </row>
    <row r="30" spans="1:11">
      <c r="A30" s="134"/>
      <c r="B30" s="87" t="s">
        <v>13</v>
      </c>
      <c r="C30" s="105">
        <v>11.38</v>
      </c>
      <c r="E30" s="16"/>
      <c r="F30" s="16"/>
      <c r="G30" s="16"/>
      <c r="I30" s="16"/>
      <c r="J30" s="16"/>
      <c r="K30" s="16"/>
    </row>
    <row r="31" spans="1:11">
      <c r="A31" s="16"/>
      <c r="B31" s="16"/>
      <c r="C31" s="16"/>
      <c r="E31" s="16"/>
      <c r="F31" s="16"/>
      <c r="G31" s="16"/>
      <c r="I31" s="16"/>
      <c r="J31" s="16"/>
      <c r="K31" s="16"/>
    </row>
    <row r="32" spans="1:11">
      <c r="A32" s="16"/>
      <c r="B32" s="16"/>
      <c r="C32" s="16"/>
      <c r="E32" s="16"/>
      <c r="F32" s="16"/>
      <c r="G32" s="16"/>
      <c r="I32" s="16"/>
      <c r="J32" s="16"/>
      <c r="K32" s="16"/>
    </row>
    <row r="33" spans="1:11">
      <c r="A33" s="16"/>
      <c r="B33" s="16"/>
      <c r="C33" s="16"/>
      <c r="E33" s="16"/>
      <c r="F33" s="16"/>
      <c r="G33" s="16"/>
      <c r="I33" s="16"/>
      <c r="J33" s="16"/>
      <c r="K33" s="16"/>
    </row>
    <row r="34" spans="1:11">
      <c r="A34" s="16"/>
      <c r="B34" s="16"/>
      <c r="C34" s="16"/>
      <c r="E34" s="16"/>
      <c r="F34" s="16"/>
      <c r="G34" s="16"/>
      <c r="I34" s="16"/>
      <c r="J34" s="16"/>
      <c r="K34" s="16"/>
    </row>
    <row r="35" spans="1:11">
      <c r="A35" s="16"/>
      <c r="B35" s="16"/>
      <c r="C35" s="16"/>
      <c r="E35" s="16"/>
      <c r="F35" s="16"/>
      <c r="G35" s="16"/>
      <c r="I35" s="16"/>
      <c r="J35" s="16"/>
      <c r="K35" s="16"/>
    </row>
    <row r="36" spans="1:11">
      <c r="A36" s="16"/>
      <c r="B36" s="16"/>
      <c r="C36" s="16"/>
      <c r="E36" s="16"/>
      <c r="F36" s="16"/>
      <c r="G36" s="16"/>
      <c r="I36" s="16"/>
      <c r="J36" s="16"/>
      <c r="K36" s="16"/>
    </row>
    <row r="37" spans="1:11">
      <c r="A37" s="16"/>
      <c r="B37" s="16"/>
      <c r="C37" s="16"/>
      <c r="E37" s="16"/>
      <c r="F37" s="16"/>
      <c r="G37" s="16"/>
      <c r="I37" s="16"/>
      <c r="J37" s="16"/>
      <c r="K37" s="16"/>
    </row>
    <row r="38" spans="1:11">
      <c r="A38" s="16"/>
      <c r="B38" s="16"/>
      <c r="C38" s="16"/>
      <c r="E38" s="16"/>
      <c r="F38" s="16"/>
      <c r="G38" s="16"/>
      <c r="I38" s="16"/>
      <c r="J38" s="16"/>
      <c r="K38" s="16"/>
    </row>
    <row r="39" spans="1:11">
      <c r="A39" s="16"/>
      <c r="B39" s="16"/>
      <c r="C39" s="16"/>
      <c r="E39" s="16"/>
      <c r="F39" s="16"/>
      <c r="G39" s="16"/>
      <c r="I39" s="16"/>
      <c r="J39" s="16"/>
      <c r="K39" s="16"/>
    </row>
    <row r="40" spans="1:11">
      <c r="A40" s="16"/>
      <c r="B40" s="16"/>
      <c r="C40" s="16"/>
      <c r="E40" s="16"/>
      <c r="F40" s="16"/>
      <c r="G40" s="16"/>
      <c r="I40" s="16"/>
      <c r="J40" s="16"/>
      <c r="K40" s="16"/>
    </row>
    <row r="41" spans="1:11">
      <c r="A41" s="16"/>
      <c r="B41" s="16"/>
      <c r="C41" s="16"/>
      <c r="I41" s="16"/>
      <c r="J41" s="16"/>
      <c r="K41" s="16"/>
    </row>
    <row r="42" spans="1:11">
      <c r="A42" s="16"/>
      <c r="B42" s="16"/>
      <c r="C42" s="16"/>
      <c r="E42" s="16"/>
      <c r="F42" s="16"/>
      <c r="G42" s="16"/>
      <c r="I42" s="16"/>
      <c r="J42" s="16"/>
      <c r="K42" s="16"/>
    </row>
    <row r="43" spans="1:11">
      <c r="A43" s="16"/>
      <c r="B43" s="16"/>
      <c r="C43" s="16"/>
      <c r="E43" s="16"/>
      <c r="F43" s="16"/>
      <c r="G43" s="16"/>
      <c r="I43" s="16"/>
      <c r="J43" s="16"/>
      <c r="K43" s="16"/>
    </row>
    <row r="44" spans="1:11">
      <c r="A44" s="16"/>
      <c r="B44" s="16"/>
      <c r="C44" s="16"/>
      <c r="E44" s="16"/>
      <c r="F44" s="16"/>
      <c r="G44" s="16"/>
      <c r="I44" s="16"/>
      <c r="J44" s="16"/>
      <c r="K44" s="16"/>
    </row>
    <row r="45" spans="1:11">
      <c r="A45" s="16"/>
      <c r="B45" s="16"/>
      <c r="C45" s="16"/>
      <c r="E45" s="16"/>
      <c r="F45" s="16"/>
      <c r="G45" s="16"/>
      <c r="I45" s="16"/>
      <c r="J45" s="16"/>
      <c r="K45" s="16"/>
    </row>
    <row r="46" spans="1:11">
      <c r="A46" s="16"/>
      <c r="B46" s="16"/>
      <c r="C46" s="16"/>
      <c r="E46" s="16"/>
      <c r="F46" s="16"/>
      <c r="G46" s="16"/>
      <c r="I46" s="16"/>
      <c r="J46" s="16"/>
      <c r="K46" s="16"/>
    </row>
    <row r="47" spans="1:11">
      <c r="A47" s="16"/>
      <c r="B47" s="16"/>
      <c r="C47" s="16"/>
      <c r="E47" s="16"/>
      <c r="F47" s="16"/>
      <c r="G47" s="16"/>
      <c r="I47" s="16"/>
      <c r="J47" s="16"/>
      <c r="K47" s="16"/>
    </row>
    <row r="48" spans="1:11">
      <c r="A48" s="16"/>
      <c r="B48" s="16"/>
      <c r="C48" s="16"/>
      <c r="E48" s="16"/>
      <c r="F48" s="16"/>
      <c r="G48" s="16"/>
      <c r="I48" s="16"/>
      <c r="J48" s="16"/>
      <c r="K48" s="16"/>
    </row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</sheetData>
  <sheetProtection password="8992" sheet="1" objects="1" scenarios="1"/>
  <mergeCells count="6">
    <mergeCell ref="E2:F5"/>
    <mergeCell ref="A29:A30"/>
    <mergeCell ref="A25:A26"/>
    <mergeCell ref="A21:A22"/>
    <mergeCell ref="A23:A24"/>
    <mergeCell ref="A27:A28"/>
  </mergeCells>
  <phoneticPr fontId="0" type="noConversion"/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AE69"/>
  <sheetViews>
    <sheetView topLeftCell="A4" zoomScale="70" zoomScaleNormal="70" workbookViewId="0">
      <selection activeCell="B21" sqref="B21"/>
    </sheetView>
  </sheetViews>
  <sheetFormatPr baseColWidth="10" defaultRowHeight="15"/>
  <cols>
    <col min="1" max="1" width="46.5703125" bestFit="1" customWidth="1"/>
    <col min="2" max="2" width="12.140625" bestFit="1" customWidth="1"/>
    <col min="3" max="3" width="11.42578125" style="16"/>
    <col min="4" max="4" width="46.5703125" bestFit="1" customWidth="1"/>
    <col min="6" max="6" width="11.42578125" style="16"/>
    <col min="7" max="7" width="46.5703125" bestFit="1" customWidth="1"/>
    <col min="9" max="31" width="11.42578125" style="16"/>
  </cols>
  <sheetData>
    <row r="1" spans="1:31" s="16" customFormat="1"/>
    <row r="2" spans="1:31" s="16" customFormat="1"/>
    <row r="3" spans="1:31" s="16" customFormat="1" ht="23.25">
      <c r="C3" s="132" t="s">
        <v>88</v>
      </c>
      <c r="D3" s="132"/>
      <c r="F3" s="81" t="s">
        <v>95</v>
      </c>
    </row>
    <row r="4" spans="1:31" s="16" customFormat="1">
      <c r="C4" s="132"/>
      <c r="D4" s="132"/>
    </row>
    <row r="5" spans="1:31" s="16" customFormat="1" ht="24" thickBot="1">
      <c r="A5" s="81"/>
    </row>
    <row r="6" spans="1:31" s="2" customFormat="1" ht="14.25" customHeight="1" thickBot="1">
      <c r="A6" s="96"/>
      <c r="B6" s="20" t="s">
        <v>62</v>
      </c>
      <c r="C6" s="68"/>
      <c r="E6" s="20" t="s">
        <v>63</v>
      </c>
      <c r="F6" s="28"/>
      <c r="H6" s="20" t="s">
        <v>63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s="2" customFormat="1" ht="15.75">
      <c r="A7" s="41" t="s">
        <v>6</v>
      </c>
      <c r="B7" s="62"/>
      <c r="C7" s="28"/>
      <c r="D7" s="41" t="s">
        <v>6</v>
      </c>
      <c r="E7" s="61"/>
      <c r="F7" s="28"/>
      <c r="G7" s="41" t="s">
        <v>6</v>
      </c>
      <c r="H7" s="61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31" s="2" customFormat="1">
      <c r="A8" s="106" t="s">
        <v>7</v>
      </c>
      <c r="B8" s="49">
        <f ca="1">'Planteo Técnico'!C8*Precios!C8</f>
        <v>61.75200000000001</v>
      </c>
      <c r="C8" s="28"/>
      <c r="D8" s="106" t="s">
        <v>7</v>
      </c>
      <c r="E8" s="48">
        <f ca="1">'Planteo Técnico'!G8*Precios!G8</f>
        <v>91.632000000000005</v>
      </c>
      <c r="F8" s="28"/>
      <c r="G8" s="106" t="s">
        <v>7</v>
      </c>
      <c r="H8" s="47">
        <f ca="1">'Planteo Técnico'!K8*Precios!K8</f>
        <v>73.704000000000022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31" s="2" customFormat="1">
      <c r="A9" s="106" t="s">
        <v>8</v>
      </c>
      <c r="B9" s="49">
        <f ca="1">'Planteo Técnico'!C9*Precios!C9</f>
        <v>144</v>
      </c>
      <c r="C9" s="28"/>
      <c r="D9" s="24" t="s">
        <v>8</v>
      </c>
      <c r="E9" s="48">
        <f ca="1">'Planteo Técnico'!G9*Precios!G9</f>
        <v>42.159999999999982</v>
      </c>
      <c r="F9" s="28"/>
      <c r="G9" s="24" t="s">
        <v>8</v>
      </c>
      <c r="H9" s="48">
        <f ca="1">'Planteo Técnico'!K9*Precios!K9</f>
        <v>42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s="2" customFormat="1">
      <c r="A10" s="106" t="s">
        <v>9</v>
      </c>
      <c r="B10" s="49">
        <f ca="1">'Planteo Técnico'!C10*Precios!C10</f>
        <v>34.299999999999997</v>
      </c>
      <c r="C10" s="28"/>
      <c r="D10" s="23" t="s">
        <v>11</v>
      </c>
      <c r="E10" s="4">
        <f ca="1">'Planteo Técnico'!G10*Precios!G10</f>
        <v>26.599999999999991</v>
      </c>
      <c r="F10" s="28"/>
      <c r="G10" s="23" t="s">
        <v>81</v>
      </c>
      <c r="H10" s="48">
        <f ca="1">'Planteo Técnico'!K10*Precios!K10</f>
        <v>12.299999999999999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s="2" customFormat="1">
      <c r="A11" s="106" t="s">
        <v>10</v>
      </c>
      <c r="B11" s="49">
        <f ca="1">'Planteo Técnico'!C11*Precios!C11</f>
        <v>31.5</v>
      </c>
      <c r="C11" s="28"/>
      <c r="D11" s="24" t="s">
        <v>64</v>
      </c>
      <c r="E11" s="48">
        <f ca="1">'Planteo Técnico'!G11*Precios!G11</f>
        <v>0</v>
      </c>
      <c r="F11" s="28"/>
      <c r="G11" s="24" t="s">
        <v>48</v>
      </c>
      <c r="H11" s="48">
        <f ca="1">'Planteo Técnico'!K11*Precios!K11</f>
        <v>6.2299999999999986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s="2" customFormat="1">
      <c r="A12" s="106" t="s">
        <v>57</v>
      </c>
      <c r="B12" s="49">
        <f ca="1">'Planteo Técnico'!C12*Precios!C12</f>
        <v>0</v>
      </c>
      <c r="C12" s="28"/>
      <c r="D12" s="24" t="s">
        <v>65</v>
      </c>
      <c r="E12" s="48">
        <f ca="1">'Planteo Técnico'!G12*Precios!G12</f>
        <v>14.255999999999998</v>
      </c>
      <c r="F12" s="28"/>
      <c r="G12" s="24" t="s">
        <v>11</v>
      </c>
      <c r="H12" s="48">
        <f ca="1">'Planteo Técnico'!K12*Precios!K12</f>
        <v>19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s="2" customFormat="1">
      <c r="A13" s="106" t="s">
        <v>11</v>
      </c>
      <c r="B13" s="49">
        <f ca="1">'Planteo Técnico'!C13*Precios!C13</f>
        <v>18.999999999999993</v>
      </c>
      <c r="C13" s="28"/>
      <c r="D13" s="24" t="s">
        <v>48</v>
      </c>
      <c r="E13" s="48">
        <f ca="1">'Planteo Técnico'!G13*Precios!G13</f>
        <v>4.4500000000000011</v>
      </c>
      <c r="F13" s="28"/>
      <c r="G13" s="24" t="s">
        <v>81</v>
      </c>
      <c r="H13" s="48">
        <f ca="1">'Planteo Técnico'!K13*Precios!K13</f>
        <v>0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31" s="2" customFormat="1">
      <c r="A14" s="106" t="s">
        <v>46</v>
      </c>
      <c r="B14" s="49">
        <f ca="1">'Planteo Técnico'!C14*Precios!C14</f>
        <v>8.6</v>
      </c>
      <c r="C14" s="28"/>
      <c r="D14" s="24" t="s">
        <v>66</v>
      </c>
      <c r="E14" s="48">
        <f ca="1">'Planteo Técnico'!G14*Precios!G14</f>
        <v>5.9200000000000026</v>
      </c>
      <c r="F14" s="28"/>
      <c r="G14" s="24" t="s">
        <v>82</v>
      </c>
      <c r="H14" s="48">
        <f ca="1">'Planteo Técnico'!K14*Precios!K14</f>
        <v>1.5640000000000003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31" s="2" customFormat="1">
      <c r="A15" s="106" t="s">
        <v>48</v>
      </c>
      <c r="B15" s="49">
        <f ca="1">'Planteo Técnico'!C15*Precios!C15</f>
        <v>4.4500000000000011</v>
      </c>
      <c r="C15" s="28"/>
      <c r="D15" s="24" t="s">
        <v>67</v>
      </c>
      <c r="E15" s="48">
        <f ca="1">'Planteo Técnico'!G15*Precios!G15</f>
        <v>39.200000000000003</v>
      </c>
      <c r="F15" s="28"/>
      <c r="G15" s="24" t="s">
        <v>12</v>
      </c>
      <c r="H15" s="48">
        <f ca="1">'Planteo Técnico'!K15*Precios!K15</f>
        <v>0.49700000000000022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31" s="2" customFormat="1">
      <c r="A16" s="106" t="s">
        <v>49</v>
      </c>
      <c r="B16" s="49">
        <f ca="1">'Planteo Técnico'!C16*Precios!C16</f>
        <v>6.9</v>
      </c>
      <c r="C16" s="28"/>
      <c r="D16" s="24" t="s">
        <v>68</v>
      </c>
      <c r="E16" s="48">
        <f ca="1">'Planteo Técnico'!G16*Precios!G16</f>
        <v>0</v>
      </c>
      <c r="F16" s="28"/>
      <c r="G16" s="24" t="s">
        <v>83</v>
      </c>
      <c r="H16" s="48">
        <f ca="1">'Planteo Técnico'!K16*Precios!K16</f>
        <v>50.4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>
      <c r="A17" s="106" t="s">
        <v>12</v>
      </c>
      <c r="B17" s="49">
        <f ca="1">'Planteo Técnico'!C17*Precios!C17</f>
        <v>1.7749999999999999</v>
      </c>
      <c r="C17" s="28"/>
      <c r="D17" s="24" t="s">
        <v>69</v>
      </c>
      <c r="E17" s="48">
        <f ca="1">'Planteo Técnico'!G17*Precios!G17</f>
        <v>10.549000000000001</v>
      </c>
      <c r="F17" s="28"/>
      <c r="G17" s="24" t="s">
        <v>9</v>
      </c>
      <c r="H17" s="48">
        <f ca="1">'Planteo Técnico'!K17*Precios!K17</f>
        <v>49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4.25" customHeight="1">
      <c r="A18" s="106" t="s">
        <v>13</v>
      </c>
      <c r="B18" s="49">
        <f ca="1">'Planteo Técnico'!C18*Precios!C18</f>
        <v>70</v>
      </c>
      <c r="C18" s="28"/>
      <c r="D18" s="24" t="s">
        <v>70</v>
      </c>
      <c r="E18" s="48">
        <f ca="1">'Planteo Técnico'!G18*Precios!G18</f>
        <v>0.35499999999999998</v>
      </c>
      <c r="F18" s="28"/>
      <c r="G18" s="24" t="s">
        <v>13</v>
      </c>
      <c r="H18" s="50">
        <f ca="1">'Planteo Técnico'!K18*Precios!K18</f>
        <v>68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>
      <c r="A19" s="42" t="s">
        <v>14</v>
      </c>
      <c r="B19" s="18">
        <f ca="1">SUM(B8:B18)+B30</f>
        <v>398.35699999999997</v>
      </c>
      <c r="C19" s="28"/>
      <c r="D19" s="24" t="s">
        <v>71</v>
      </c>
      <c r="E19" s="48">
        <f ca="1">'Planteo Técnico'!G19*Precios!G19</f>
        <v>7.875</v>
      </c>
      <c r="F19" s="28"/>
      <c r="G19" s="42" t="s">
        <v>14</v>
      </c>
      <c r="H19" s="18">
        <f ca="1">SUM(H8:H18)+H30</f>
        <v>335.41500000000008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5.75">
      <c r="A20" s="41" t="s">
        <v>15</v>
      </c>
      <c r="B20" s="7"/>
      <c r="C20" s="28"/>
      <c r="D20" s="24" t="s">
        <v>72</v>
      </c>
      <c r="E20" s="48">
        <f ca="1">'Planteo Técnico'!G20*Precios!G20</f>
        <v>0</v>
      </c>
      <c r="F20" s="28"/>
      <c r="G20" s="41" t="s">
        <v>15</v>
      </c>
      <c r="H20" s="7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>
      <c r="A21" s="106" t="s">
        <v>16</v>
      </c>
      <c r="B21" s="57">
        <f ca="1">(('Planteo Técnico'!C20+'Planteo Técnico'!C21)*('Márgenes combinados'!E9/10))/Precios!C30</f>
        <v>317.6318101933216</v>
      </c>
      <c r="C21" s="28"/>
      <c r="D21" s="24" t="s">
        <v>73</v>
      </c>
      <c r="E21" s="48">
        <f ca="1">'Planteo Técnico'!G21*Precios!G21</f>
        <v>16.5</v>
      </c>
      <c r="F21" s="28"/>
      <c r="G21" s="24" t="s">
        <v>16</v>
      </c>
      <c r="H21" s="60">
        <f ca="1">(('Planteo Técnico'!K20+'Planteo Técnico'!K21)*('Márgenes combinados'!G9/10))/Precios!C30</f>
        <v>251.26098418277678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>
      <c r="A22" s="106" t="s">
        <v>17</v>
      </c>
      <c r="B22" s="58">
        <v>1.1599999999999999E-2</v>
      </c>
      <c r="C22" s="28"/>
      <c r="D22" s="24" t="s">
        <v>13</v>
      </c>
      <c r="E22" s="48">
        <f ca="1">'Planteo Técnico'!G22*Precios!G22</f>
        <v>64</v>
      </c>
      <c r="F22" s="28"/>
      <c r="G22" s="24" t="s">
        <v>17</v>
      </c>
      <c r="H22" s="58">
        <v>1.1599999999999999E-2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>
      <c r="A23" s="106" t="s">
        <v>18</v>
      </c>
      <c r="B23" s="58">
        <v>0.02</v>
      </c>
      <c r="C23" s="28"/>
      <c r="D23" s="42" t="s">
        <v>14</v>
      </c>
      <c r="E23" s="18">
        <f ca="1">SUM(E8:E22)+E35</f>
        <v>334.93699999999995</v>
      </c>
      <c r="F23" s="28"/>
      <c r="G23" s="24" t="s">
        <v>18</v>
      </c>
      <c r="H23" s="58">
        <v>0.02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4.25" customHeight="1">
      <c r="A24" s="106" t="s">
        <v>74</v>
      </c>
      <c r="B24" s="58">
        <v>0.03</v>
      </c>
      <c r="C24" s="28"/>
      <c r="D24" s="41" t="s">
        <v>15</v>
      </c>
      <c r="E24" s="7"/>
      <c r="F24" s="28"/>
      <c r="G24" s="24" t="s">
        <v>107</v>
      </c>
      <c r="H24" s="58">
        <v>0.03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>
      <c r="A25" s="106" t="s">
        <v>19</v>
      </c>
      <c r="B25" s="59">
        <v>2.0000000000000004E-2</v>
      </c>
      <c r="D25" s="24" t="s">
        <v>16</v>
      </c>
      <c r="E25" s="60">
        <f ca="1">(('Planteo Técnico'!G24+'Planteo Técnico'!G25)*('Márgenes combinados'!F9/10))/Precios!C30</f>
        <v>123.26010544815465</v>
      </c>
      <c r="G25" s="24" t="s">
        <v>19</v>
      </c>
      <c r="H25" s="58">
        <v>2.0000000000000004E-2</v>
      </c>
    </row>
    <row r="26" spans="1:31">
      <c r="A26" s="42" t="s">
        <v>20</v>
      </c>
      <c r="B26" s="14">
        <f ca="1">SUM(B22:B25)</f>
        <v>8.1600000000000006E-2</v>
      </c>
      <c r="D26" s="24" t="s">
        <v>17</v>
      </c>
      <c r="E26" s="58">
        <f ca="1">'Planteo Técnico'!G26</f>
        <v>1.1599999999999999E-2</v>
      </c>
      <c r="G26" s="43" t="s">
        <v>20</v>
      </c>
      <c r="H26" s="44">
        <f ca="1">SUM(H22:H25)</f>
        <v>8.1600000000000006E-2</v>
      </c>
    </row>
    <row r="27" spans="1:31" ht="15.75">
      <c r="A27" s="41" t="s">
        <v>21</v>
      </c>
      <c r="B27" s="7"/>
      <c r="D27" s="24" t="s">
        <v>18</v>
      </c>
      <c r="E27" s="58">
        <f ca="1">'Planteo Técnico'!G27</f>
        <v>1.46E-2</v>
      </c>
      <c r="G27" s="22" t="s">
        <v>21</v>
      </c>
      <c r="H27" s="7"/>
    </row>
    <row r="28" spans="1:31">
      <c r="A28" s="106" t="s">
        <v>22</v>
      </c>
      <c r="B28" s="57">
        <f ca="1">'Planteo Técnico'!C27</f>
        <v>10.55</v>
      </c>
      <c r="D28" s="24" t="s">
        <v>74</v>
      </c>
      <c r="E28" s="58">
        <f ca="1">'Planteo Técnico'!G28</f>
        <v>0.02</v>
      </c>
      <c r="G28" s="24" t="s">
        <v>22</v>
      </c>
      <c r="H28" s="95">
        <f ca="1">'Planteo Técnico'!K27</f>
        <v>10.55</v>
      </c>
    </row>
    <row r="29" spans="1:31">
      <c r="A29" s="106" t="s">
        <v>23</v>
      </c>
      <c r="B29" s="57">
        <f ca="1">'Planteo Técnico'!C28</f>
        <v>34.15</v>
      </c>
      <c r="D29" s="24" t="s">
        <v>75</v>
      </c>
      <c r="E29" s="58">
        <f ca="1">'Planteo Técnico'!G29</f>
        <v>1.37E-2</v>
      </c>
      <c r="G29" s="24" t="s">
        <v>23</v>
      </c>
      <c r="H29" s="95">
        <f ca="1">'Planteo Técnico'!K28</f>
        <v>34.15</v>
      </c>
    </row>
    <row r="30" spans="1:31">
      <c r="A30" s="106" t="s">
        <v>24</v>
      </c>
      <c r="B30" s="57">
        <f ca="1">'Planteo Técnico'!C29*'Márgenes combinados'!E11</f>
        <v>16.080000000000002</v>
      </c>
      <c r="D30" s="24" t="s">
        <v>19</v>
      </c>
      <c r="E30" s="58">
        <f ca="1">'Planteo Técnico'!G30</f>
        <v>0.02</v>
      </c>
      <c r="G30" s="24" t="s">
        <v>24</v>
      </c>
      <c r="H30" s="95">
        <f ca="1">'Planteo Técnico'!K29*'Márgenes combinados'!G11</f>
        <v>12.72</v>
      </c>
    </row>
    <row r="31" spans="1:31">
      <c r="A31" s="106" t="s">
        <v>25</v>
      </c>
      <c r="B31" s="57">
        <f ca="1">'Planteo Técnico'!C30</f>
        <v>7.2</v>
      </c>
      <c r="D31" s="43" t="s">
        <v>20</v>
      </c>
      <c r="E31" s="44">
        <f ca="1">SUM(E26:E30)</f>
        <v>7.9900000000000013E-2</v>
      </c>
      <c r="G31" s="24" t="s">
        <v>25</v>
      </c>
      <c r="H31" s="95">
        <f ca="1">'Planteo Técnico'!K30</f>
        <v>7.2</v>
      </c>
    </row>
    <row r="32" spans="1:31" ht="15.75">
      <c r="A32" s="106" t="s">
        <v>26</v>
      </c>
      <c r="B32" s="57">
        <f ca="1">'Planteo Técnico'!C31</f>
        <v>43.15</v>
      </c>
      <c r="D32" s="22" t="s">
        <v>21</v>
      </c>
      <c r="E32" s="7"/>
      <c r="G32" s="24" t="s">
        <v>26</v>
      </c>
      <c r="H32" s="95">
        <f ca="1">'Planteo Técnico'!K31</f>
        <v>43.15</v>
      </c>
    </row>
    <row r="33" spans="1:31">
      <c r="A33" s="106" t="s">
        <v>53</v>
      </c>
      <c r="B33" s="57">
        <f ca="1">'Planteo Técnico'!C32</f>
        <v>2.5499999999999998</v>
      </c>
      <c r="D33" s="24" t="s">
        <v>44</v>
      </c>
      <c r="E33" s="46">
        <f ca="1">'Planteo Técnico'!G32</f>
        <v>10.55</v>
      </c>
      <c r="G33" s="24" t="s">
        <v>53</v>
      </c>
      <c r="H33" s="95">
        <f ca="1">'Planteo Técnico'!K32</f>
        <v>2.5499999999999998</v>
      </c>
    </row>
    <row r="34" spans="1:31" s="2" customFormat="1">
      <c r="A34" s="106" t="s">
        <v>27</v>
      </c>
      <c r="B34" s="57">
        <f ca="1">'Planteo Técnico'!C33</f>
        <v>2.5</v>
      </c>
      <c r="C34" s="28"/>
      <c r="D34" s="24" t="s">
        <v>23</v>
      </c>
      <c r="E34" s="46">
        <f ca="1">'Planteo Técnico'!G33</f>
        <v>34.15</v>
      </c>
      <c r="F34" s="28"/>
      <c r="G34" s="24" t="s">
        <v>27</v>
      </c>
      <c r="H34" s="95">
        <f ca="1">'Planteo Técnico'!K33</f>
        <v>2.5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>
      <c r="A35" s="106" t="s">
        <v>28</v>
      </c>
      <c r="B35" s="57">
        <f ca="1">'Planteo Técnico'!C34</f>
        <v>0.95</v>
      </c>
      <c r="D35" s="24" t="s">
        <v>24</v>
      </c>
      <c r="E35" s="46">
        <f ca="1">'Planteo Técnico'!G34*'Márgenes combinados'!F11</f>
        <v>11.44</v>
      </c>
      <c r="G35" s="24" t="s">
        <v>28</v>
      </c>
      <c r="H35" s="95">
        <f ca="1">'Planteo Técnico'!K34</f>
        <v>0.95</v>
      </c>
    </row>
    <row r="36" spans="1:31">
      <c r="A36" s="106" t="s">
        <v>29</v>
      </c>
      <c r="B36" s="57">
        <f ca="1">'Planteo Técnico'!C35</f>
        <v>0</v>
      </c>
      <c r="D36" s="24" t="s">
        <v>25</v>
      </c>
      <c r="E36" s="46">
        <f ca="1">'Planteo Técnico'!G35</f>
        <v>7.2</v>
      </c>
      <c r="G36" s="24" t="s">
        <v>29</v>
      </c>
      <c r="H36" s="95">
        <f ca="1">'Planteo Técnico'!K35</f>
        <v>0</v>
      </c>
    </row>
    <row r="37" spans="1:31">
      <c r="A37" s="106" t="s">
        <v>30</v>
      </c>
      <c r="B37" s="57">
        <f ca="1">'Planteo Técnico'!C36</f>
        <v>0</v>
      </c>
      <c r="D37" s="24" t="s">
        <v>26</v>
      </c>
      <c r="E37" s="46">
        <f ca="1">'Planteo Técnico'!G36</f>
        <v>43.15</v>
      </c>
      <c r="G37" s="25" t="s">
        <v>30</v>
      </c>
      <c r="H37" s="95">
        <f ca="1">'Planteo Técnico'!K36</f>
        <v>0</v>
      </c>
    </row>
    <row r="38" spans="1:31">
      <c r="A38" s="42" t="s">
        <v>31</v>
      </c>
      <c r="B38" s="15">
        <f ca="1">SUM(B28:B29,B31:B37)</f>
        <v>101.05000000000001</v>
      </c>
      <c r="D38" s="24" t="s">
        <v>53</v>
      </c>
      <c r="E38" s="46">
        <f ca="1">'Planteo Técnico'!G37</f>
        <v>2.5499999999999998</v>
      </c>
      <c r="G38" s="43" t="s">
        <v>31</v>
      </c>
      <c r="H38" s="64">
        <f ca="1">SUM(H28:H29,H31:H37)</f>
        <v>101.05000000000001</v>
      </c>
    </row>
    <row r="39" spans="1:31">
      <c r="A39" s="16"/>
      <c r="B39" s="16"/>
      <c r="D39" s="24" t="s">
        <v>27</v>
      </c>
      <c r="E39" s="46">
        <f ca="1">'Planteo Técnico'!G38</f>
        <v>2.5</v>
      </c>
      <c r="G39" s="16"/>
      <c r="H39" s="16"/>
    </row>
    <row r="40" spans="1:31">
      <c r="A40" s="16"/>
      <c r="B40" s="16"/>
      <c r="D40" s="24" t="s">
        <v>28</v>
      </c>
      <c r="E40" s="46">
        <f ca="1">'Planteo Técnico'!G39</f>
        <v>0.95</v>
      </c>
      <c r="G40" s="16"/>
      <c r="H40" s="16"/>
    </row>
    <row r="41" spans="1:31">
      <c r="A41" s="16"/>
      <c r="B41" s="16"/>
      <c r="D41" s="24" t="s">
        <v>29</v>
      </c>
      <c r="E41" s="46">
        <f ca="1">'Planteo Técnico'!G40</f>
        <v>0</v>
      </c>
      <c r="G41" s="16"/>
      <c r="H41" s="16"/>
    </row>
    <row r="42" spans="1:31">
      <c r="A42" s="16"/>
      <c r="B42" s="16"/>
      <c r="D42" s="25" t="s">
        <v>45</v>
      </c>
      <c r="E42" s="46">
        <f ca="1">'Planteo Técnico'!G41</f>
        <v>0</v>
      </c>
      <c r="G42" s="16"/>
      <c r="H42" s="16"/>
    </row>
    <row r="43" spans="1:31">
      <c r="A43" s="16"/>
      <c r="B43" s="16"/>
      <c r="D43" s="43" t="s">
        <v>31</v>
      </c>
      <c r="E43" s="64">
        <f>SUM(E33:E34,E36:E42)</f>
        <v>101.05000000000001</v>
      </c>
      <c r="G43" s="16"/>
      <c r="H43" s="16"/>
    </row>
    <row r="44" spans="1:31">
      <c r="A44" s="16"/>
      <c r="B44" s="16"/>
      <c r="D44" s="16"/>
      <c r="E44" s="16"/>
      <c r="G44" s="16"/>
      <c r="H44" s="16"/>
    </row>
    <row r="45" spans="1:31">
      <c r="A45" s="16"/>
      <c r="B45" s="16"/>
      <c r="D45" s="16"/>
      <c r="E45" s="16"/>
      <c r="G45" s="16"/>
      <c r="H45" s="16"/>
    </row>
    <row r="46" spans="1:31">
      <c r="A46" s="16"/>
      <c r="B46" s="16"/>
      <c r="D46" s="16"/>
      <c r="E46" s="16"/>
      <c r="G46" s="16"/>
      <c r="H46" s="16"/>
    </row>
    <row r="47" spans="1:31">
      <c r="A47" s="16"/>
      <c r="B47" s="16"/>
      <c r="D47" s="16"/>
      <c r="E47" s="16"/>
      <c r="G47" s="16"/>
      <c r="H47" s="16"/>
    </row>
    <row r="48" spans="1:31">
      <c r="A48" s="16"/>
      <c r="B48" s="16"/>
      <c r="D48" s="16"/>
      <c r="E48" s="16"/>
      <c r="G48" s="16"/>
      <c r="H48" s="16"/>
    </row>
    <row r="49" spans="1:8">
      <c r="A49" s="16"/>
      <c r="B49" s="16"/>
      <c r="D49" s="16"/>
      <c r="E49" s="16"/>
      <c r="G49" s="16"/>
      <c r="H49" s="16"/>
    </row>
    <row r="50" spans="1:8">
      <c r="A50" s="16"/>
      <c r="B50" s="16"/>
      <c r="D50" s="16"/>
      <c r="E50" s="16"/>
      <c r="G50" s="16"/>
      <c r="H50" s="16"/>
    </row>
    <row r="51" spans="1:8">
      <c r="A51" s="16"/>
      <c r="B51" s="16"/>
      <c r="D51" s="16"/>
      <c r="E51" s="16"/>
      <c r="G51" s="16"/>
      <c r="H51" s="16"/>
    </row>
    <row r="52" spans="1:8">
      <c r="A52" s="16"/>
      <c r="B52" s="16"/>
      <c r="D52" s="16"/>
      <c r="E52" s="16"/>
      <c r="G52" s="16"/>
      <c r="H52" s="16"/>
    </row>
    <row r="53" spans="1:8">
      <c r="A53" s="16"/>
      <c r="B53" s="16"/>
      <c r="D53" s="16"/>
      <c r="E53" s="16"/>
      <c r="G53" s="16"/>
      <c r="H53" s="16"/>
    </row>
    <row r="54" spans="1:8">
      <c r="A54" s="16"/>
      <c r="B54" s="16"/>
      <c r="D54" s="16"/>
      <c r="E54" s="16"/>
      <c r="G54" s="16"/>
      <c r="H54" s="16"/>
    </row>
    <row r="55" spans="1:8">
      <c r="A55" s="16"/>
      <c r="B55" s="16"/>
      <c r="D55" s="16"/>
      <c r="E55" s="16"/>
      <c r="G55" s="16"/>
      <c r="H55" s="16"/>
    </row>
    <row r="56" spans="1:8">
      <c r="A56" s="16"/>
      <c r="B56" s="16"/>
      <c r="D56" s="16"/>
      <c r="E56" s="16"/>
      <c r="G56" s="16"/>
      <c r="H56" s="16"/>
    </row>
    <row r="57" spans="1:8">
      <c r="A57" s="16"/>
      <c r="B57" s="16"/>
      <c r="D57" s="16"/>
      <c r="E57" s="16"/>
      <c r="G57" s="16"/>
      <c r="H57" s="16"/>
    </row>
    <row r="58" spans="1:8">
      <c r="A58" s="16"/>
      <c r="B58" s="16"/>
      <c r="D58" s="16"/>
      <c r="E58" s="16"/>
      <c r="G58" s="16"/>
      <c r="H58" s="16"/>
    </row>
    <row r="59" spans="1:8">
      <c r="A59" s="16"/>
      <c r="B59" s="16"/>
      <c r="D59" s="16"/>
      <c r="E59" s="16"/>
      <c r="G59" s="16"/>
      <c r="H59" s="16"/>
    </row>
    <row r="60" spans="1:8">
      <c r="A60" s="16"/>
      <c r="B60" s="16"/>
      <c r="D60" s="16"/>
      <c r="E60" s="16"/>
      <c r="G60" s="16"/>
      <c r="H60" s="16"/>
    </row>
    <row r="61" spans="1:8">
      <c r="A61" s="16"/>
      <c r="B61" s="16"/>
      <c r="D61" s="16"/>
      <c r="E61" s="16"/>
      <c r="G61" s="16"/>
      <c r="H61" s="16"/>
    </row>
    <row r="62" spans="1:8">
      <c r="A62" s="16"/>
      <c r="B62" s="16"/>
      <c r="D62" s="16"/>
      <c r="E62" s="16"/>
      <c r="G62" s="16"/>
      <c r="H62" s="16"/>
    </row>
    <row r="63" spans="1:8">
      <c r="A63" s="16"/>
      <c r="B63" s="16"/>
      <c r="D63" s="16"/>
      <c r="E63" s="16"/>
      <c r="G63" s="16"/>
      <c r="H63" s="16"/>
    </row>
    <row r="64" spans="1:8">
      <c r="A64" s="16"/>
      <c r="B64" s="16"/>
      <c r="D64" s="16"/>
      <c r="E64" s="16"/>
      <c r="G64" s="16"/>
      <c r="H64" s="16"/>
    </row>
    <row r="65" spans="1:8">
      <c r="A65" s="16"/>
      <c r="B65" s="16"/>
      <c r="G65" s="16"/>
      <c r="H65" s="16"/>
    </row>
    <row r="66" spans="1:8">
      <c r="A66" s="16"/>
      <c r="B66" s="16"/>
    </row>
    <row r="67" spans="1:8">
      <c r="A67" s="16"/>
      <c r="B67" s="16"/>
    </row>
    <row r="68" spans="1:8">
      <c r="A68" s="16"/>
      <c r="B68" s="16"/>
    </row>
    <row r="69" spans="1:8">
      <c r="A69" s="16"/>
      <c r="B69" s="16"/>
    </row>
  </sheetData>
  <sheetProtection password="8992" sheet="1" objects="1" scenarios="1"/>
  <mergeCells count="1">
    <mergeCell ref="C3:D4"/>
  </mergeCells>
  <phoneticPr fontId="0" type="noConversion"/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1:L56"/>
  <sheetViews>
    <sheetView tabSelected="1" zoomScale="70" zoomScaleNormal="70" workbookViewId="0">
      <selection activeCell="C31" sqref="C31"/>
    </sheetView>
  </sheetViews>
  <sheetFormatPr baseColWidth="10" defaultRowHeight="15"/>
  <cols>
    <col min="1" max="1" width="5" style="16" customWidth="1"/>
    <col min="2" max="2" width="12.7109375" style="16" customWidth="1"/>
    <col min="3" max="3" width="19.140625" style="16" customWidth="1"/>
    <col min="4" max="4" width="51.7109375" style="16" bestFit="1" customWidth="1"/>
    <col min="5" max="5" width="15.5703125" style="16" customWidth="1"/>
    <col min="6" max="6" width="14.85546875" style="16" bestFit="1" customWidth="1"/>
    <col min="7" max="7" width="11.42578125" style="16"/>
    <col min="8" max="8" width="14.140625" style="16" bestFit="1" customWidth="1"/>
    <col min="9" max="16384" width="11.42578125" style="16"/>
  </cols>
  <sheetData>
    <row r="1" spans="2:12">
      <c r="B1" s="98"/>
      <c r="C1" s="98"/>
      <c r="D1" s="98"/>
      <c r="E1" s="98"/>
      <c r="F1" s="98"/>
      <c r="G1" s="98"/>
      <c r="H1" s="98"/>
    </row>
    <row r="2" spans="2:12">
      <c r="B2" s="98"/>
      <c r="C2" s="98"/>
      <c r="D2" s="98"/>
      <c r="E2" s="98"/>
      <c r="F2" s="98"/>
      <c r="G2" s="98"/>
      <c r="H2" s="98"/>
    </row>
    <row r="3" spans="2:12" ht="26.25" customHeight="1">
      <c r="B3" s="99"/>
      <c r="C3" s="99"/>
      <c r="D3" s="100"/>
      <c r="E3" s="139" t="s">
        <v>102</v>
      </c>
      <c r="F3" s="139"/>
      <c r="G3" s="139"/>
      <c r="H3" s="98"/>
    </row>
    <row r="4" spans="2:12" ht="15" customHeight="1">
      <c r="B4" s="99"/>
      <c r="C4" s="99"/>
      <c r="D4" s="100"/>
      <c r="E4" s="139"/>
      <c r="F4" s="139"/>
      <c r="G4" s="139"/>
      <c r="H4" s="98"/>
    </row>
    <row r="5" spans="2:12" ht="15" customHeight="1">
      <c r="B5" s="99"/>
      <c r="C5" s="99"/>
      <c r="D5" s="100"/>
      <c r="E5" s="139"/>
      <c r="F5" s="139"/>
      <c r="G5" s="139"/>
      <c r="H5" s="98" t="s">
        <v>127</v>
      </c>
    </row>
    <row r="6" spans="2:12" ht="15" customHeight="1" thickBot="1">
      <c r="B6" s="99"/>
      <c r="C6" s="99"/>
      <c r="D6" s="100"/>
      <c r="E6" s="110"/>
      <c r="F6" s="110"/>
      <c r="G6" s="110"/>
      <c r="H6" s="111"/>
      <c r="I6" s="116"/>
      <c r="L6" s="116"/>
    </row>
    <row r="7" spans="2:12" ht="15" customHeight="1" thickBot="1">
      <c r="B7" s="101"/>
      <c r="C7" s="101"/>
      <c r="D7" s="98"/>
      <c r="E7" s="103" t="s">
        <v>62</v>
      </c>
      <c r="F7" s="103" t="s">
        <v>77</v>
      </c>
      <c r="G7" s="103" t="s">
        <v>79</v>
      </c>
      <c r="H7" s="116"/>
      <c r="I7" s="117"/>
      <c r="L7" s="117"/>
    </row>
    <row r="8" spans="2:12" ht="19.5" thickBot="1">
      <c r="B8" s="140" t="s">
        <v>101</v>
      </c>
      <c r="C8" s="141"/>
      <c r="D8" s="141"/>
      <c r="E8" s="129">
        <v>0.5</v>
      </c>
      <c r="F8" s="129">
        <v>0.4</v>
      </c>
      <c r="G8" s="129">
        <v>0.1</v>
      </c>
      <c r="H8" s="151" t="str">
        <f>IF((SUM(E8:G8)&lt;&gt;1),"La suma de los tres cultivos debe ser igual a 100%","")</f>
        <v/>
      </c>
      <c r="I8" s="152"/>
      <c r="J8" s="152"/>
      <c r="K8" s="152"/>
      <c r="L8" s="152"/>
    </row>
    <row r="9" spans="2:12" ht="19.5" thickBot="1">
      <c r="B9" s="142" t="s">
        <v>61</v>
      </c>
      <c r="C9" s="143"/>
      <c r="D9" s="144"/>
      <c r="E9" s="130">
        <v>67</v>
      </c>
      <c r="F9" s="130">
        <v>26</v>
      </c>
      <c r="G9" s="130">
        <v>53</v>
      </c>
      <c r="H9" s="114"/>
    </row>
    <row r="10" spans="2:12" ht="15" customHeight="1">
      <c r="B10" s="155" t="s">
        <v>0</v>
      </c>
      <c r="C10" s="148" t="s">
        <v>116</v>
      </c>
      <c r="D10" s="122" t="s">
        <v>78</v>
      </c>
      <c r="E10" s="123">
        <f ca="1">Precios!C22</f>
        <v>12</v>
      </c>
      <c r="F10" s="123">
        <f ca="1">Precios!C24</f>
        <v>22</v>
      </c>
      <c r="G10" s="123">
        <f ca="1">Precios!C28</f>
        <v>12</v>
      </c>
      <c r="H10" s="98"/>
    </row>
    <row r="11" spans="2:12" ht="15" customHeight="1">
      <c r="B11" s="156"/>
      <c r="C11" s="149"/>
      <c r="D11" s="124" t="s">
        <v>114</v>
      </c>
      <c r="E11" s="125">
        <f>E10*E9</f>
        <v>804</v>
      </c>
      <c r="F11" s="125">
        <f>F10*F9</f>
        <v>572</v>
      </c>
      <c r="G11" s="125">
        <f>G10*G9</f>
        <v>636</v>
      </c>
      <c r="H11" s="98"/>
    </row>
    <row r="12" spans="2:12" ht="15" customHeight="1">
      <c r="B12" s="156"/>
      <c r="C12" s="149"/>
      <c r="D12" s="124" t="s">
        <v>1</v>
      </c>
      <c r="E12" s="125">
        <f ca="1">'Márgenes combinados'!E11*Costos!B26+Costos!B21</f>
        <v>383.23821019332161</v>
      </c>
      <c r="F12" s="125">
        <f ca="1">F11*Costos!E31+Costos!E25</f>
        <v>168.96290544815466</v>
      </c>
      <c r="G12" s="125">
        <f ca="1">G11*Costos!H26+Costos!H21</f>
        <v>303.15858418277679</v>
      </c>
      <c r="H12" s="115"/>
      <c r="I12" s="115"/>
      <c r="J12" s="115"/>
    </row>
    <row r="13" spans="2:12" ht="15" customHeight="1">
      <c r="B13" s="156"/>
      <c r="C13" s="149"/>
      <c r="D13" s="124" t="s">
        <v>2</v>
      </c>
      <c r="E13" s="125">
        <f ca="1">E11-E12</f>
        <v>420.76178980667839</v>
      </c>
      <c r="F13" s="125">
        <f ca="1">F11-F12</f>
        <v>403.03709455184537</v>
      </c>
      <c r="G13" s="125">
        <f ca="1">G11-G12</f>
        <v>332.84141581722321</v>
      </c>
      <c r="H13" s="98"/>
      <c r="I13" s="116"/>
    </row>
    <row r="14" spans="2:12" ht="15.75" customHeight="1" thickBot="1">
      <c r="B14" s="156"/>
      <c r="C14" s="149"/>
      <c r="D14" s="124" t="s">
        <v>3</v>
      </c>
      <c r="E14" s="125">
        <f ca="1">Costos!B19</f>
        <v>398.35699999999997</v>
      </c>
      <c r="F14" s="125">
        <f ca="1">Costos!E23</f>
        <v>334.93699999999995</v>
      </c>
      <c r="G14" s="125">
        <f ca="1">Costos!H19</f>
        <v>335.41500000000008</v>
      </c>
      <c r="H14" s="118"/>
      <c r="I14" s="116"/>
    </row>
    <row r="15" spans="2:12" ht="20.25" thickTop="1" thickBot="1">
      <c r="B15" s="156"/>
      <c r="C15" s="149"/>
      <c r="D15" s="119" t="s">
        <v>100</v>
      </c>
      <c r="E15" s="121">
        <f ca="1">((E13-E14)*E8)</f>
        <v>11.202394903339211</v>
      </c>
      <c r="F15" s="121">
        <f ca="1">((F13-F14)*F8)</f>
        <v>27.240037820738166</v>
      </c>
      <c r="G15" s="121">
        <f ca="1">((G13-G14)*G8)</f>
        <v>-0.25735841827768696</v>
      </c>
      <c r="H15" s="98"/>
      <c r="I15" s="116"/>
    </row>
    <row r="16" spans="2:12" ht="16.5" customHeight="1" thickTop="1" thickBot="1">
      <c r="B16" s="156"/>
      <c r="C16" s="149"/>
      <c r="D16" s="124" t="s">
        <v>4</v>
      </c>
      <c r="E16" s="125">
        <f ca="1">Costos!B38</f>
        <v>101.05000000000001</v>
      </c>
      <c r="F16" s="125">
        <f ca="1">Costos!E43</f>
        <v>101.05000000000001</v>
      </c>
      <c r="G16" s="125">
        <f ca="1">Costos!H38</f>
        <v>101.05000000000001</v>
      </c>
      <c r="H16" s="98"/>
    </row>
    <row r="17" spans="1:8" ht="20.25" thickTop="1" thickBot="1">
      <c r="B17" s="156"/>
      <c r="C17" s="149"/>
      <c r="D17" s="119" t="s">
        <v>112</v>
      </c>
      <c r="E17" s="121">
        <f>+(E15-E16)*E8</f>
        <v>-44.9238025483304</v>
      </c>
      <c r="F17" s="121">
        <f>+(F15-F16)*F8</f>
        <v>-29.523984871704741</v>
      </c>
      <c r="G17" s="121">
        <f>+(G15-G16)*G8</f>
        <v>-10.130735841827772</v>
      </c>
      <c r="H17" s="98"/>
    </row>
    <row r="18" spans="1:8" ht="16.5" customHeight="1" thickTop="1" thickBot="1">
      <c r="B18" s="156"/>
      <c r="C18" s="150"/>
      <c r="D18" s="127" t="s">
        <v>5</v>
      </c>
      <c r="E18" s="128">
        <f>+(E12+E14)/E10</f>
        <v>65.132934182776793</v>
      </c>
      <c r="F18" s="128">
        <f>+(F12+F14)/F10</f>
        <v>22.9045411567343</v>
      </c>
      <c r="G18" s="128">
        <f>+(G12+G14)/G10</f>
        <v>53.214465348564737</v>
      </c>
      <c r="H18" s="98"/>
    </row>
    <row r="19" spans="1:8" ht="15" customHeight="1">
      <c r="B19" s="156"/>
      <c r="C19" s="148" t="s">
        <v>115</v>
      </c>
      <c r="D19" s="126" t="s">
        <v>58</v>
      </c>
      <c r="E19" s="131">
        <v>8</v>
      </c>
      <c r="F19" s="131">
        <v>8</v>
      </c>
      <c r="G19" s="131">
        <v>8</v>
      </c>
      <c r="H19" s="98"/>
    </row>
    <row r="20" spans="1:8" ht="15" customHeight="1" thickBot="1">
      <c r="B20" s="156"/>
      <c r="C20" s="149"/>
      <c r="D20" s="124" t="s">
        <v>59</v>
      </c>
      <c r="E20" s="125">
        <f ca="1">E19*Precios!C24</f>
        <v>176</v>
      </c>
      <c r="F20" s="125">
        <f ca="1">F19*Precios!C24</f>
        <v>176</v>
      </c>
      <c r="G20" s="125">
        <f ca="1">G19*Precios!C24</f>
        <v>176</v>
      </c>
      <c r="H20" s="98"/>
    </row>
    <row r="21" spans="1:8" ht="20.25" thickTop="1" thickBot="1">
      <c r="B21" s="156"/>
      <c r="C21" s="149"/>
      <c r="D21" s="119" t="s">
        <v>113</v>
      </c>
      <c r="E21" s="121">
        <f>((E15-E20)*E8)</f>
        <v>-82.398802548330394</v>
      </c>
      <c r="F21" s="121">
        <f>((F15-F20)*F8)</f>
        <v>-59.503984871704738</v>
      </c>
      <c r="G21" s="121">
        <f>((G15-G20)*G8)</f>
        <v>-17.625735841827769</v>
      </c>
      <c r="H21" s="111"/>
    </row>
    <row r="22" spans="1:8" ht="15" customHeight="1" thickTop="1" thickBot="1">
      <c r="B22" s="157"/>
      <c r="C22" s="150"/>
      <c r="D22" s="127" t="s">
        <v>5</v>
      </c>
      <c r="E22" s="128">
        <f>(E14+E12+E20)/E10</f>
        <v>79.799600849443465</v>
      </c>
      <c r="F22" s="128">
        <f>(F14+F12+F20)/F10</f>
        <v>30.9045411567343</v>
      </c>
      <c r="G22" s="128">
        <f>(G14+G12+G20)/G10</f>
        <v>67.881132015231401</v>
      </c>
      <c r="H22" s="98"/>
    </row>
    <row r="23" spans="1:8" ht="15" customHeight="1" thickBot="1">
      <c r="A23" s="98"/>
      <c r="B23" s="98"/>
      <c r="C23" s="98"/>
      <c r="D23" s="98"/>
      <c r="E23" s="98"/>
      <c r="F23" s="98"/>
      <c r="G23" s="98"/>
      <c r="H23" s="111"/>
    </row>
    <row r="24" spans="1:8" ht="19.5" customHeight="1" thickBot="1">
      <c r="A24" s="98"/>
      <c r="B24" s="98"/>
      <c r="C24" s="148" t="s">
        <v>120</v>
      </c>
      <c r="D24" s="120" t="s">
        <v>121</v>
      </c>
      <c r="E24" s="145">
        <f>E15+F15+G15</f>
        <v>38.185074305799688</v>
      </c>
      <c r="F24" s="146"/>
      <c r="G24" s="147"/>
      <c r="H24" s="98"/>
    </row>
    <row r="25" spans="1:8" ht="19.5" thickBot="1">
      <c r="A25" s="98"/>
      <c r="B25" s="98"/>
      <c r="C25" s="149"/>
      <c r="D25" s="120" t="s">
        <v>122</v>
      </c>
      <c r="E25" s="145">
        <f>E17+F17+G17</f>
        <v>-84.578523261862912</v>
      </c>
      <c r="F25" s="146"/>
      <c r="G25" s="147"/>
      <c r="H25" s="98"/>
    </row>
    <row r="26" spans="1:8" ht="19.5" thickBot="1">
      <c r="A26" s="98"/>
      <c r="B26" s="98"/>
      <c r="C26" s="150"/>
      <c r="D26" s="120" t="s">
        <v>123</v>
      </c>
      <c r="E26" s="145">
        <f>E21*E8+F21*F8+G21*G8</f>
        <v>-66.76356880702987</v>
      </c>
      <c r="F26" s="146"/>
      <c r="G26" s="147"/>
      <c r="H26" s="98"/>
    </row>
    <row r="27" spans="1:8" ht="15" customHeight="1" thickBot="1">
      <c r="B27" s="98"/>
      <c r="C27" s="98"/>
      <c r="D27" s="98"/>
      <c r="E27" s="98"/>
      <c r="F27" s="98"/>
      <c r="G27" s="98"/>
      <c r="H27" s="98"/>
    </row>
    <row r="28" spans="1:8" ht="20.25" customHeight="1" thickBot="1">
      <c r="C28" s="153" t="s">
        <v>111</v>
      </c>
      <c r="D28" s="153"/>
      <c r="E28" s="154"/>
      <c r="F28" s="113">
        <v>450</v>
      </c>
      <c r="G28" s="98"/>
      <c r="H28" s="98"/>
    </row>
    <row r="29" spans="1:8" ht="15" customHeight="1">
      <c r="B29" s="98"/>
      <c r="C29" s="98"/>
      <c r="D29" s="112"/>
      <c r="E29" s="98"/>
      <c r="G29" s="98"/>
      <c r="H29" s="98"/>
    </row>
    <row r="30" spans="1:8">
      <c r="B30" s="102" t="s">
        <v>117</v>
      </c>
      <c r="C30" s="98"/>
      <c r="D30" s="98"/>
      <c r="E30" s="98"/>
      <c r="F30" s="98"/>
      <c r="G30" s="98"/>
      <c r="H30" s="98"/>
    </row>
    <row r="31" spans="1:8" ht="15" customHeight="1">
      <c r="B31" s="98" t="s">
        <v>60</v>
      </c>
      <c r="C31" s="98"/>
      <c r="D31" s="98"/>
      <c r="E31" s="98"/>
      <c r="F31" s="98"/>
      <c r="G31" s="98"/>
      <c r="H31" s="98"/>
    </row>
    <row r="32" spans="1:8" ht="15" customHeight="1">
      <c r="B32" s="98" t="s">
        <v>87</v>
      </c>
      <c r="C32" s="98"/>
      <c r="D32" s="98"/>
      <c r="E32" s="98"/>
      <c r="F32" s="98"/>
      <c r="G32" s="98"/>
      <c r="H32" s="98"/>
    </row>
    <row r="33" spans="2:8" ht="15" customHeight="1">
      <c r="B33" s="98" t="s">
        <v>128</v>
      </c>
      <c r="C33" s="98"/>
      <c r="D33" s="98"/>
      <c r="E33" s="98"/>
      <c r="F33" s="98"/>
      <c r="G33" s="98"/>
      <c r="H33" s="98"/>
    </row>
    <row r="34" spans="2:8" ht="15" customHeight="1">
      <c r="B34" s="98" t="s">
        <v>118</v>
      </c>
      <c r="C34" s="98"/>
      <c r="D34" s="98"/>
      <c r="E34" s="98"/>
      <c r="F34" s="98"/>
      <c r="G34" s="98"/>
      <c r="H34" s="98"/>
    </row>
    <row r="35" spans="2:8" ht="15" customHeight="1">
      <c r="B35" s="101" t="s">
        <v>119</v>
      </c>
      <c r="C35" s="98"/>
      <c r="D35" s="98"/>
      <c r="E35" s="98"/>
      <c r="F35" s="98"/>
      <c r="G35" s="98"/>
      <c r="H35" s="98"/>
    </row>
    <row r="36" spans="2:8" ht="15" customHeight="1">
      <c r="B36" s="98"/>
      <c r="C36" s="98"/>
      <c r="E36" s="98"/>
      <c r="H36" s="98"/>
    </row>
    <row r="37" spans="2:8" ht="15" customHeight="1"/>
    <row r="38" spans="2:8" ht="15" customHeight="1"/>
    <row r="39" spans="2:8" ht="15" customHeight="1"/>
    <row r="42" spans="2:8">
      <c r="B42" s="65"/>
      <c r="C42" s="65"/>
    </row>
    <row r="43" spans="2:8">
      <c r="B43" s="66"/>
      <c r="C43" s="66"/>
    </row>
    <row r="44" spans="2:8">
      <c r="B44" s="66"/>
      <c r="C44" s="66"/>
    </row>
    <row r="45" spans="2:8">
      <c r="B45" s="66"/>
      <c r="C45" s="66"/>
    </row>
    <row r="46" spans="2:8">
      <c r="B46" s="66"/>
      <c r="C46" s="66"/>
    </row>
    <row r="47" spans="2:8">
      <c r="B47" s="66"/>
      <c r="C47" s="66"/>
    </row>
    <row r="48" spans="2:8">
      <c r="B48" s="66"/>
      <c r="C48" s="66"/>
    </row>
    <row r="49" spans="2:7">
      <c r="B49" s="66"/>
      <c r="C49" s="66"/>
    </row>
    <row r="50" spans="2:7">
      <c r="B50" s="65"/>
      <c r="F50" s="16" t="s">
        <v>124</v>
      </c>
      <c r="G50" s="66">
        <f>+E24</f>
        <v>38.185074305799688</v>
      </c>
    </row>
    <row r="51" spans="2:7">
      <c r="B51" s="66"/>
      <c r="F51" s="16" t="s">
        <v>125</v>
      </c>
      <c r="G51" s="66">
        <f>+E25</f>
        <v>-84.578523261862912</v>
      </c>
    </row>
    <row r="52" spans="2:7">
      <c r="B52" s="66"/>
      <c r="F52" s="16" t="s">
        <v>126</v>
      </c>
      <c r="G52" s="66">
        <f>+E26</f>
        <v>-66.76356880702987</v>
      </c>
    </row>
    <row r="53" spans="2:7">
      <c r="B53" s="66"/>
    </row>
    <row r="54" spans="2:7">
      <c r="B54" s="66"/>
    </row>
    <row r="55" spans="2:7">
      <c r="B55" s="66"/>
    </row>
    <row r="56" spans="2:7">
      <c r="B56" s="66"/>
    </row>
  </sheetData>
  <protectedRanges>
    <protectedRange sqref="E19:G19" name="Arrendamiento"/>
    <protectedRange sqref="E9:G9" name="Rendimiento"/>
  </protectedRanges>
  <mergeCells count="12">
    <mergeCell ref="H8:L8"/>
    <mergeCell ref="C28:E28"/>
    <mergeCell ref="E24:G24"/>
    <mergeCell ref="B10:B22"/>
    <mergeCell ref="E3:G5"/>
    <mergeCell ref="B8:D8"/>
    <mergeCell ref="B9:D9"/>
    <mergeCell ref="E26:G26"/>
    <mergeCell ref="E25:G25"/>
    <mergeCell ref="C10:C18"/>
    <mergeCell ref="C19:C22"/>
    <mergeCell ref="C24:C26"/>
  </mergeCells>
  <phoneticPr fontId="0" type="noConversion"/>
  <pageMargins left="0.7" right="0.7" top="0.75" bottom="0.75" header="0.3" footer="0.3"/>
  <pageSetup orientation="landscape" r:id="rId1"/>
  <ignoredErrors>
    <ignoredError sqref="F14:G14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27"/>
  <sheetViews>
    <sheetView topLeftCell="A118" workbookViewId="0">
      <selection activeCell="D2" sqref="D2:D127"/>
    </sheetView>
  </sheetViews>
  <sheetFormatPr baseColWidth="10" defaultRowHeight="15"/>
  <sheetData>
    <row r="1" spans="1:6">
      <c r="A1" t="s">
        <v>108</v>
      </c>
      <c r="B1" t="s">
        <v>109</v>
      </c>
      <c r="E1" t="s">
        <v>110</v>
      </c>
      <c r="F1">
        <f>MAX(D2:D127)</f>
        <v>451.5</v>
      </c>
    </row>
    <row r="2" spans="1:6">
      <c r="A2">
        <v>5</v>
      </c>
      <c r="B2">
        <v>60.9</v>
      </c>
      <c r="D2">
        <f ca="1">IF('Márgenes combinados'!$F$28='Costo transporte'!A2,'Costo transporte'!B2,0)</f>
        <v>0</v>
      </c>
    </row>
    <row r="3" spans="1:6">
      <c r="A3">
        <v>10</v>
      </c>
      <c r="B3">
        <v>60.9</v>
      </c>
      <c r="D3">
        <f ca="1">IF('Márgenes combinados'!$F$28='Costo transporte'!A3,'Costo transporte'!B3,0)</f>
        <v>0</v>
      </c>
    </row>
    <row r="4" spans="1:6">
      <c r="A4">
        <v>15</v>
      </c>
      <c r="B4">
        <v>67.2</v>
      </c>
      <c r="D4">
        <f ca="1">IF('Márgenes combinados'!$F$28='Costo transporte'!A4,'Costo transporte'!B4,0)</f>
        <v>0</v>
      </c>
    </row>
    <row r="5" spans="1:6">
      <c r="A5">
        <v>20</v>
      </c>
      <c r="B5">
        <v>74.099999999999994</v>
      </c>
      <c r="D5">
        <f ca="1">IF('Márgenes combinados'!$F$28='Costo transporte'!A5,'Costo transporte'!B5,0)</f>
        <v>0</v>
      </c>
    </row>
    <row r="6" spans="1:6">
      <c r="A6">
        <v>25</v>
      </c>
      <c r="B6">
        <v>80.8</v>
      </c>
      <c r="D6">
        <f ca="1">IF('Márgenes combinados'!$F$28='Costo transporte'!A6,'Costo transporte'!B6,0)</f>
        <v>0</v>
      </c>
    </row>
    <row r="7" spans="1:6">
      <c r="A7">
        <v>30</v>
      </c>
      <c r="B7">
        <v>88</v>
      </c>
      <c r="D7">
        <f ca="1">IF('Márgenes combinados'!$F$28='Costo transporte'!A7,'Costo transporte'!B7,0)</f>
        <v>0</v>
      </c>
    </row>
    <row r="8" spans="1:6">
      <c r="A8">
        <v>35</v>
      </c>
      <c r="B8">
        <v>94.5</v>
      </c>
      <c r="D8">
        <f ca="1">IF('Márgenes combinados'!$F$28='Costo transporte'!A8,'Costo transporte'!B8,0)</f>
        <v>0</v>
      </c>
    </row>
    <row r="9" spans="1:6">
      <c r="A9">
        <v>40</v>
      </c>
      <c r="B9">
        <v>101.4</v>
      </c>
      <c r="D9">
        <f ca="1">IF('Márgenes combinados'!$F$28='Costo transporte'!A9,'Costo transporte'!B9,0)</f>
        <v>0</v>
      </c>
    </row>
    <row r="10" spans="1:6">
      <c r="A10">
        <v>45</v>
      </c>
      <c r="B10">
        <v>108.6</v>
      </c>
      <c r="D10">
        <f ca="1">IF('Márgenes combinados'!$F$28='Costo transporte'!A10,'Costo transporte'!B10,0)</f>
        <v>0</v>
      </c>
    </row>
    <row r="11" spans="1:6">
      <c r="A11">
        <v>50</v>
      </c>
      <c r="B11">
        <v>115.3</v>
      </c>
      <c r="D11">
        <f ca="1">IF('Márgenes combinados'!$F$28='Costo transporte'!A11,'Costo transporte'!B11,0)</f>
        <v>0</v>
      </c>
    </row>
    <row r="12" spans="1:6">
      <c r="A12">
        <v>55</v>
      </c>
      <c r="B12">
        <v>120.4</v>
      </c>
      <c r="D12">
        <f ca="1">IF('Márgenes combinados'!$F$28='Costo transporte'!A12,'Costo transporte'!B12,0)</f>
        <v>0</v>
      </c>
    </row>
    <row r="13" spans="1:6">
      <c r="A13">
        <v>60</v>
      </c>
      <c r="B13">
        <v>125.6</v>
      </c>
      <c r="D13">
        <f ca="1">IF('Márgenes combinados'!$F$28='Costo transporte'!A13,'Costo transporte'!B13,0)</f>
        <v>0</v>
      </c>
    </row>
    <row r="14" spans="1:6">
      <c r="A14">
        <v>65</v>
      </c>
      <c r="B14">
        <v>131.30000000000001</v>
      </c>
      <c r="D14">
        <f ca="1">IF('Márgenes combinados'!$F$28='Costo transporte'!A14,'Costo transporte'!B14,0)</f>
        <v>0</v>
      </c>
    </row>
    <row r="15" spans="1:6">
      <c r="A15">
        <v>70</v>
      </c>
      <c r="B15">
        <v>136.80000000000001</v>
      </c>
      <c r="D15">
        <f ca="1">IF('Márgenes combinados'!$F$28='Costo transporte'!A15,'Costo transporte'!B15,0)</f>
        <v>0</v>
      </c>
    </row>
    <row r="16" spans="1:6">
      <c r="A16">
        <v>75</v>
      </c>
      <c r="B16">
        <v>141.80000000000001</v>
      </c>
      <c r="D16">
        <f ca="1">IF('Márgenes combinados'!$F$28='Costo transporte'!A16,'Costo transporte'!B16,0)</f>
        <v>0</v>
      </c>
    </row>
    <row r="17" spans="1:4">
      <c r="A17">
        <v>80</v>
      </c>
      <c r="B17">
        <v>147</v>
      </c>
      <c r="D17">
        <f ca="1">IF('Márgenes combinados'!$F$28='Costo transporte'!A17,'Costo transporte'!B17,0)</f>
        <v>0</v>
      </c>
    </row>
    <row r="18" spans="1:4">
      <c r="A18">
        <v>85</v>
      </c>
      <c r="B18">
        <v>152.19999999999999</v>
      </c>
      <c r="D18">
        <f ca="1">IF('Márgenes combinados'!$F$28='Costo transporte'!A18,'Costo transporte'!B18,0)</f>
        <v>0</v>
      </c>
    </row>
    <row r="19" spans="1:4">
      <c r="A19">
        <v>90</v>
      </c>
      <c r="B19">
        <v>157.5</v>
      </c>
      <c r="D19">
        <f ca="1">IF('Márgenes combinados'!$F$28='Costo transporte'!A19,'Costo transporte'!B19,0)</f>
        <v>0</v>
      </c>
    </row>
    <row r="20" spans="1:4">
      <c r="A20">
        <v>95</v>
      </c>
      <c r="B20">
        <v>162.6</v>
      </c>
      <c r="D20">
        <f ca="1">IF('Márgenes combinados'!$F$28='Costo transporte'!A20,'Costo transporte'!B20,0)</f>
        <v>0</v>
      </c>
    </row>
    <row r="21" spans="1:4">
      <c r="A21">
        <v>100</v>
      </c>
      <c r="B21">
        <v>167.6</v>
      </c>
      <c r="D21">
        <f ca="1">IF('Márgenes combinados'!$F$28='Costo transporte'!A21,'Costo transporte'!B21,0)</f>
        <v>0</v>
      </c>
    </row>
    <row r="22" spans="1:4">
      <c r="A22">
        <v>105</v>
      </c>
      <c r="B22">
        <v>172.7</v>
      </c>
      <c r="D22">
        <f ca="1">IF('Márgenes combinados'!$F$28='Costo transporte'!A22,'Costo transporte'!B22,0)</f>
        <v>0</v>
      </c>
    </row>
    <row r="23" spans="1:4">
      <c r="A23">
        <v>110</v>
      </c>
      <c r="B23">
        <v>177.9</v>
      </c>
      <c r="D23">
        <f ca="1">IF('Márgenes combinados'!$F$28='Costo transporte'!A23,'Costo transporte'!B23,0)</f>
        <v>0</v>
      </c>
    </row>
    <row r="24" spans="1:4">
      <c r="A24">
        <v>115</v>
      </c>
      <c r="B24">
        <v>182.8</v>
      </c>
      <c r="D24">
        <f ca="1">IF('Márgenes combinados'!$F$28='Costo transporte'!A24,'Costo transporte'!B24,0)</f>
        <v>0</v>
      </c>
    </row>
    <row r="25" spans="1:4">
      <c r="A25">
        <v>120</v>
      </c>
      <c r="B25">
        <v>187.7</v>
      </c>
      <c r="D25">
        <f ca="1">IF('Márgenes combinados'!$F$28='Costo transporte'!A25,'Costo transporte'!B25,0)</f>
        <v>0</v>
      </c>
    </row>
    <row r="26" spans="1:4">
      <c r="A26">
        <v>125</v>
      </c>
      <c r="B26">
        <v>195.6</v>
      </c>
      <c r="D26">
        <f ca="1">IF('Márgenes combinados'!$F$28='Costo transporte'!A26,'Costo transporte'!B26,0)</f>
        <v>0</v>
      </c>
    </row>
    <row r="27" spans="1:4">
      <c r="A27">
        <v>130</v>
      </c>
      <c r="B27">
        <v>199.6</v>
      </c>
      <c r="D27">
        <f ca="1">IF('Márgenes combinados'!$F$28='Costo transporte'!A27,'Costo transporte'!B27,0)</f>
        <v>0</v>
      </c>
    </row>
    <row r="28" spans="1:4">
      <c r="A28">
        <v>135</v>
      </c>
      <c r="B28">
        <v>203.6</v>
      </c>
      <c r="D28">
        <f ca="1">IF('Márgenes combinados'!$F$28='Costo transporte'!A28,'Costo transporte'!B28,0)</f>
        <v>0</v>
      </c>
    </row>
    <row r="29" spans="1:4">
      <c r="A29">
        <v>140</v>
      </c>
      <c r="B29">
        <v>207.6</v>
      </c>
      <c r="D29">
        <f ca="1">IF('Márgenes combinados'!$F$28='Costo transporte'!A29,'Costo transporte'!B29,0)</f>
        <v>0</v>
      </c>
    </row>
    <row r="30" spans="1:4">
      <c r="A30">
        <v>145</v>
      </c>
      <c r="B30">
        <v>211.6</v>
      </c>
      <c r="D30">
        <f ca="1">IF('Márgenes combinados'!$F$28='Costo transporte'!A30,'Costo transporte'!B30,0)</f>
        <v>0</v>
      </c>
    </row>
    <row r="31" spans="1:4">
      <c r="A31">
        <v>150</v>
      </c>
      <c r="B31">
        <v>215.6</v>
      </c>
      <c r="D31">
        <f ca="1">IF('Márgenes combinados'!$F$28='Costo transporte'!A31,'Costo transporte'!B31,0)</f>
        <v>0</v>
      </c>
    </row>
    <row r="32" spans="1:4">
      <c r="A32">
        <v>155</v>
      </c>
      <c r="B32">
        <v>222.8</v>
      </c>
      <c r="D32">
        <f ca="1">IF('Márgenes combinados'!$F$28='Costo transporte'!A32,'Costo transporte'!B32,0)</f>
        <v>0</v>
      </c>
    </row>
    <row r="33" spans="1:4">
      <c r="A33">
        <v>160</v>
      </c>
      <c r="B33">
        <v>229.9</v>
      </c>
      <c r="D33">
        <f ca="1">IF('Márgenes combinados'!$F$28='Costo transporte'!A33,'Costo transporte'!B33,0)</f>
        <v>0</v>
      </c>
    </row>
    <row r="34" spans="1:4">
      <c r="A34">
        <v>165</v>
      </c>
      <c r="B34">
        <v>237.1</v>
      </c>
      <c r="D34">
        <f ca="1">IF('Márgenes combinados'!$F$28='Costo transporte'!A34,'Costo transporte'!B34,0)</f>
        <v>0</v>
      </c>
    </row>
    <row r="35" spans="1:4">
      <c r="A35">
        <v>170</v>
      </c>
      <c r="B35">
        <v>244.3</v>
      </c>
      <c r="D35">
        <f ca="1">IF('Márgenes combinados'!$F$28='Costo transporte'!A35,'Costo transporte'!B35,0)</f>
        <v>0</v>
      </c>
    </row>
    <row r="36" spans="1:4">
      <c r="A36">
        <v>175</v>
      </c>
      <c r="B36">
        <v>251.5</v>
      </c>
      <c r="D36">
        <f ca="1">IF('Márgenes combinados'!$F$28='Costo transporte'!A36,'Costo transporte'!B36,0)</f>
        <v>0</v>
      </c>
    </row>
    <row r="37" spans="1:4">
      <c r="A37">
        <v>180</v>
      </c>
      <c r="B37">
        <v>253.6</v>
      </c>
      <c r="D37">
        <f ca="1">IF('Márgenes combinados'!$F$28='Costo transporte'!A37,'Costo transporte'!B37,0)</f>
        <v>0</v>
      </c>
    </row>
    <row r="38" spans="1:4">
      <c r="A38">
        <v>185</v>
      </c>
      <c r="B38">
        <v>255.6</v>
      </c>
      <c r="D38">
        <f ca="1">IF('Márgenes combinados'!$F$28='Costo transporte'!A38,'Costo transporte'!B38,0)</f>
        <v>0</v>
      </c>
    </row>
    <row r="39" spans="1:4">
      <c r="A39">
        <v>190</v>
      </c>
      <c r="B39">
        <v>257.60000000000002</v>
      </c>
      <c r="D39">
        <f ca="1">IF('Márgenes combinados'!$F$28='Costo transporte'!A39,'Costo transporte'!B39,0)</f>
        <v>0</v>
      </c>
    </row>
    <row r="40" spans="1:4">
      <c r="A40">
        <v>195</v>
      </c>
      <c r="B40">
        <v>259.7</v>
      </c>
      <c r="D40">
        <f ca="1">IF('Márgenes combinados'!$F$28='Costo transporte'!A40,'Costo transporte'!B40,0)</f>
        <v>0</v>
      </c>
    </row>
    <row r="41" spans="1:4">
      <c r="A41">
        <v>200</v>
      </c>
      <c r="B41">
        <v>261.7</v>
      </c>
      <c r="D41">
        <f ca="1">IF('Márgenes combinados'!$F$28='Costo transporte'!A41,'Costo transporte'!B41,0)</f>
        <v>0</v>
      </c>
    </row>
    <row r="42" spans="1:4">
      <c r="A42">
        <v>205</v>
      </c>
      <c r="B42">
        <v>267.2</v>
      </c>
      <c r="D42">
        <f ca="1">IF('Márgenes combinados'!$F$28='Costo transporte'!A42,'Costo transporte'!B42,0)</f>
        <v>0</v>
      </c>
    </row>
    <row r="43" spans="1:4">
      <c r="A43">
        <v>210</v>
      </c>
      <c r="B43">
        <v>272.60000000000002</v>
      </c>
      <c r="D43">
        <f ca="1">IF('Márgenes combinados'!$F$28='Costo transporte'!A43,'Costo transporte'!B43,0)</f>
        <v>0</v>
      </c>
    </row>
    <row r="44" spans="1:4">
      <c r="A44">
        <v>215</v>
      </c>
      <c r="B44">
        <v>278</v>
      </c>
      <c r="D44">
        <f ca="1">IF('Márgenes combinados'!$F$28='Costo transporte'!A44,'Costo transporte'!B44,0)</f>
        <v>0</v>
      </c>
    </row>
    <row r="45" spans="1:4">
      <c r="A45">
        <v>220</v>
      </c>
      <c r="B45">
        <v>283.39999999999998</v>
      </c>
      <c r="D45">
        <f ca="1">IF('Márgenes combinados'!$F$28='Costo transporte'!A45,'Costo transporte'!B45,0)</f>
        <v>0</v>
      </c>
    </row>
    <row r="46" spans="1:4">
      <c r="A46">
        <v>225</v>
      </c>
      <c r="B46">
        <v>288.89999999999998</v>
      </c>
      <c r="D46">
        <f ca="1">IF('Márgenes combinados'!$F$28='Costo transporte'!A46,'Costo transporte'!B46,0)</f>
        <v>0</v>
      </c>
    </row>
    <row r="47" spans="1:4">
      <c r="A47">
        <v>230</v>
      </c>
      <c r="B47">
        <v>293.89999999999998</v>
      </c>
      <c r="D47">
        <f ca="1">IF('Márgenes combinados'!$F$28='Costo transporte'!A47,'Costo transporte'!B47,0)</f>
        <v>0</v>
      </c>
    </row>
    <row r="48" spans="1:4">
      <c r="A48">
        <v>235</v>
      </c>
      <c r="B48">
        <v>298.89999999999998</v>
      </c>
      <c r="D48">
        <f ca="1">IF('Márgenes combinados'!$F$28='Costo transporte'!A48,'Costo transporte'!B48,0)</f>
        <v>0</v>
      </c>
    </row>
    <row r="49" spans="1:4">
      <c r="A49">
        <v>240</v>
      </c>
      <c r="B49">
        <v>304</v>
      </c>
      <c r="D49">
        <f ca="1">IF('Márgenes combinados'!$F$28='Costo transporte'!A49,'Costo transporte'!B49,0)</f>
        <v>0</v>
      </c>
    </row>
    <row r="50" spans="1:4">
      <c r="A50">
        <v>245</v>
      </c>
      <c r="B50">
        <v>309</v>
      </c>
      <c r="D50">
        <f ca="1">IF('Márgenes combinados'!$F$28='Costo transporte'!A50,'Costo transporte'!B50,0)</f>
        <v>0</v>
      </c>
    </row>
    <row r="51" spans="1:4">
      <c r="A51">
        <v>250</v>
      </c>
      <c r="B51">
        <v>314</v>
      </c>
      <c r="D51">
        <f ca="1">IF('Márgenes combinados'!$F$28='Costo transporte'!A51,'Costo transporte'!B51,0)</f>
        <v>0</v>
      </c>
    </row>
    <row r="52" spans="1:4">
      <c r="A52">
        <v>255</v>
      </c>
      <c r="B52">
        <v>319.8</v>
      </c>
      <c r="D52">
        <f ca="1">IF('Márgenes combinados'!$F$28='Costo transporte'!A52,'Costo transporte'!B52,0)</f>
        <v>0</v>
      </c>
    </row>
    <row r="53" spans="1:4">
      <c r="A53">
        <v>260</v>
      </c>
      <c r="B53">
        <v>325.60000000000002</v>
      </c>
      <c r="D53">
        <f ca="1">IF('Márgenes combinados'!$F$28='Costo transporte'!A53,'Costo transporte'!B53,0)</f>
        <v>0</v>
      </c>
    </row>
    <row r="54" spans="1:4">
      <c r="A54">
        <v>265</v>
      </c>
      <c r="B54">
        <v>331.4</v>
      </c>
      <c r="D54">
        <f ca="1">IF('Márgenes combinados'!$F$28='Costo transporte'!A54,'Costo transporte'!B54,0)</f>
        <v>0</v>
      </c>
    </row>
    <row r="55" spans="1:4">
      <c r="A55">
        <v>270</v>
      </c>
      <c r="B55">
        <v>337.2</v>
      </c>
      <c r="D55">
        <f ca="1">IF('Márgenes combinados'!$F$28='Costo transporte'!A55,'Costo transporte'!B55,0)</f>
        <v>0</v>
      </c>
    </row>
    <row r="56" spans="1:4">
      <c r="A56">
        <v>275</v>
      </c>
      <c r="B56">
        <v>343</v>
      </c>
      <c r="D56">
        <f ca="1">IF('Márgenes combinados'!$F$28='Costo transporte'!A56,'Costo transporte'!B56,0)</f>
        <v>0</v>
      </c>
    </row>
    <row r="57" spans="1:4">
      <c r="A57">
        <v>280</v>
      </c>
      <c r="B57">
        <v>348.4</v>
      </c>
      <c r="D57">
        <f ca="1">IF('Márgenes combinados'!$F$28='Costo transporte'!A57,'Costo transporte'!B57,0)</f>
        <v>0</v>
      </c>
    </row>
    <row r="58" spans="1:4">
      <c r="A58">
        <v>285</v>
      </c>
      <c r="B58">
        <v>353.8</v>
      </c>
      <c r="D58">
        <f ca="1">IF('Márgenes combinados'!$F$28='Costo transporte'!A58,'Costo transporte'!B58,0)</f>
        <v>0</v>
      </c>
    </row>
    <row r="59" spans="1:4">
      <c r="A59">
        <v>290</v>
      </c>
      <c r="B59">
        <v>359.3</v>
      </c>
      <c r="D59">
        <f ca="1">IF('Márgenes combinados'!$F$28='Costo transporte'!A59,'Costo transporte'!B59,0)</f>
        <v>0</v>
      </c>
    </row>
    <row r="60" spans="1:4">
      <c r="A60">
        <v>295</v>
      </c>
      <c r="B60">
        <v>362.6</v>
      </c>
      <c r="D60">
        <f ca="1">IF('Márgenes combinados'!$F$28='Costo transporte'!A60,'Costo transporte'!B60,0)</f>
        <v>0</v>
      </c>
    </row>
    <row r="61" spans="1:4">
      <c r="A61">
        <v>300</v>
      </c>
      <c r="B61">
        <v>366</v>
      </c>
      <c r="D61">
        <f ca="1">IF('Márgenes combinados'!$F$28='Costo transporte'!A61,'Costo transporte'!B61,0)</f>
        <v>0</v>
      </c>
    </row>
    <row r="62" spans="1:4">
      <c r="A62">
        <v>305</v>
      </c>
      <c r="B62">
        <v>369.4</v>
      </c>
      <c r="D62">
        <f ca="1">IF('Márgenes combinados'!$F$28='Costo transporte'!A62,'Costo transporte'!B62,0)</f>
        <v>0</v>
      </c>
    </row>
    <row r="63" spans="1:4">
      <c r="A63">
        <v>310</v>
      </c>
      <c r="B63">
        <v>372.8</v>
      </c>
      <c r="D63">
        <f ca="1">IF('Márgenes combinados'!$F$28='Costo transporte'!A63,'Costo transporte'!B63,0)</f>
        <v>0</v>
      </c>
    </row>
    <row r="64" spans="1:4">
      <c r="A64">
        <v>315</v>
      </c>
      <c r="B64">
        <v>376.5</v>
      </c>
      <c r="D64">
        <f ca="1">IF('Márgenes combinados'!$F$28='Costo transporte'!A64,'Costo transporte'!B64,0)</f>
        <v>0</v>
      </c>
    </row>
    <row r="65" spans="1:4">
      <c r="A65">
        <v>320</v>
      </c>
      <c r="B65">
        <v>380.2</v>
      </c>
      <c r="D65">
        <f ca="1">IF('Márgenes combinados'!$F$28='Costo transporte'!A65,'Costo transporte'!B65,0)</f>
        <v>0</v>
      </c>
    </row>
    <row r="66" spans="1:4">
      <c r="A66">
        <v>325</v>
      </c>
      <c r="B66">
        <v>383.9</v>
      </c>
      <c r="D66">
        <f ca="1">IF('Márgenes combinados'!$F$28='Costo transporte'!A66,'Costo transporte'!B66,0)</f>
        <v>0</v>
      </c>
    </row>
    <row r="67" spans="1:4">
      <c r="A67">
        <v>330</v>
      </c>
      <c r="B67">
        <v>387.8</v>
      </c>
      <c r="D67">
        <f ca="1">IF('Márgenes combinados'!$F$28='Costo transporte'!A67,'Costo transporte'!B67,0)</f>
        <v>0</v>
      </c>
    </row>
    <row r="68" spans="1:4">
      <c r="A68">
        <v>335</v>
      </c>
      <c r="B68">
        <v>391.8</v>
      </c>
      <c r="D68">
        <f ca="1">IF('Márgenes combinados'!$F$28='Costo transporte'!A68,'Costo transporte'!B68,0)</f>
        <v>0</v>
      </c>
    </row>
    <row r="69" spans="1:4">
      <c r="A69">
        <v>340</v>
      </c>
      <c r="B69">
        <v>395.7</v>
      </c>
      <c r="D69">
        <f ca="1">IF('Márgenes combinados'!$F$28='Costo transporte'!A69,'Costo transporte'!B69,0)</f>
        <v>0</v>
      </c>
    </row>
    <row r="70" spans="1:4">
      <c r="A70">
        <v>345</v>
      </c>
      <c r="B70">
        <v>399.7</v>
      </c>
      <c r="D70">
        <f ca="1">IF('Márgenes combinados'!$F$28='Costo transporte'!A70,'Costo transporte'!B70,0)</f>
        <v>0</v>
      </c>
    </row>
    <row r="71" spans="1:4">
      <c r="A71">
        <v>350</v>
      </c>
      <c r="B71">
        <v>403.6</v>
      </c>
      <c r="D71">
        <f ca="1">IF('Márgenes combinados'!$F$28='Costo transporte'!A71,'Costo transporte'!B71,0)</f>
        <v>0</v>
      </c>
    </row>
    <row r="72" spans="1:4">
      <c r="A72">
        <v>355</v>
      </c>
      <c r="B72">
        <v>405.8</v>
      </c>
      <c r="D72">
        <f ca="1">IF('Márgenes combinados'!$F$28='Costo transporte'!A72,'Costo transporte'!B72,0)</f>
        <v>0</v>
      </c>
    </row>
    <row r="73" spans="1:4">
      <c r="A73">
        <v>360</v>
      </c>
      <c r="B73">
        <v>407.9</v>
      </c>
      <c r="D73">
        <f ca="1">IF('Márgenes combinados'!$F$28='Costo transporte'!A73,'Costo transporte'!B73,0)</f>
        <v>0</v>
      </c>
    </row>
    <row r="74" spans="1:4">
      <c r="A74">
        <v>365</v>
      </c>
      <c r="B74">
        <v>410.1</v>
      </c>
      <c r="D74">
        <f ca="1">IF('Márgenes combinados'!$F$28='Costo transporte'!A74,'Costo transporte'!B74,0)</f>
        <v>0</v>
      </c>
    </row>
    <row r="75" spans="1:4">
      <c r="A75">
        <v>370</v>
      </c>
      <c r="B75">
        <v>412.2</v>
      </c>
      <c r="D75">
        <f ca="1">IF('Márgenes combinados'!$F$28='Costo transporte'!A75,'Costo transporte'!B75,0)</f>
        <v>0</v>
      </c>
    </row>
    <row r="76" spans="1:4">
      <c r="A76">
        <v>375</v>
      </c>
      <c r="B76">
        <v>414.4</v>
      </c>
      <c r="D76">
        <f ca="1">IF('Márgenes combinados'!$F$28='Costo transporte'!A76,'Costo transporte'!B76,0)</f>
        <v>0</v>
      </c>
    </row>
    <row r="77" spans="1:4">
      <c r="A77">
        <v>380</v>
      </c>
      <c r="B77">
        <v>416.1</v>
      </c>
      <c r="D77">
        <f ca="1">IF('Márgenes combinados'!$F$28='Costo transporte'!A77,'Costo transporte'!B77,0)</f>
        <v>0</v>
      </c>
    </row>
    <row r="78" spans="1:4">
      <c r="A78">
        <v>385</v>
      </c>
      <c r="B78">
        <v>417.9</v>
      </c>
      <c r="D78">
        <f ca="1">IF('Márgenes combinados'!$F$28='Costo transporte'!A78,'Costo transporte'!B78,0)</f>
        <v>0</v>
      </c>
    </row>
    <row r="79" spans="1:4">
      <c r="A79">
        <v>390</v>
      </c>
      <c r="B79">
        <v>419.7</v>
      </c>
      <c r="D79">
        <f ca="1">IF('Márgenes combinados'!$F$28='Costo transporte'!A79,'Costo transporte'!B79,0)</f>
        <v>0</v>
      </c>
    </row>
    <row r="80" spans="1:4">
      <c r="A80">
        <v>395</v>
      </c>
      <c r="B80">
        <v>421.4</v>
      </c>
      <c r="D80">
        <f ca="1">IF('Márgenes combinados'!$F$28='Costo transporte'!A80,'Costo transporte'!B80,0)</f>
        <v>0</v>
      </c>
    </row>
    <row r="81" spans="1:4">
      <c r="A81">
        <v>400</v>
      </c>
      <c r="B81">
        <v>423.2</v>
      </c>
      <c r="D81">
        <f ca="1">IF('Márgenes combinados'!$F$28='Costo transporte'!A81,'Costo transporte'!B81,0)</f>
        <v>0</v>
      </c>
    </row>
    <row r="82" spans="1:4">
      <c r="A82">
        <v>405</v>
      </c>
      <c r="B82">
        <v>424.5</v>
      </c>
      <c r="D82">
        <f ca="1">IF('Márgenes combinados'!$F$28='Costo transporte'!A82,'Costo transporte'!B82,0)</f>
        <v>0</v>
      </c>
    </row>
    <row r="83" spans="1:4">
      <c r="A83">
        <v>410</v>
      </c>
      <c r="B83">
        <v>425.7</v>
      </c>
      <c r="D83">
        <f ca="1">IF('Márgenes combinados'!$F$28='Costo transporte'!A83,'Costo transporte'!B83,0)</f>
        <v>0</v>
      </c>
    </row>
    <row r="84" spans="1:4">
      <c r="A84">
        <v>415</v>
      </c>
      <c r="B84">
        <v>427</v>
      </c>
      <c r="D84">
        <f ca="1">IF('Márgenes combinados'!$F$28='Costo transporte'!A84,'Costo transporte'!B84,0)</f>
        <v>0</v>
      </c>
    </row>
    <row r="85" spans="1:4">
      <c r="A85">
        <v>420</v>
      </c>
      <c r="B85">
        <v>428.3</v>
      </c>
      <c r="D85">
        <f ca="1">IF('Márgenes combinados'!$F$28='Costo transporte'!A85,'Costo transporte'!B85,0)</f>
        <v>0</v>
      </c>
    </row>
    <row r="86" spans="1:4">
      <c r="A86">
        <v>425</v>
      </c>
      <c r="B86">
        <v>429.6</v>
      </c>
      <c r="D86">
        <f ca="1">IF('Márgenes combinados'!$F$28='Costo transporte'!A86,'Costo transporte'!B86,0)</f>
        <v>0</v>
      </c>
    </row>
    <row r="87" spans="1:4">
      <c r="A87">
        <v>430</v>
      </c>
      <c r="B87">
        <v>434</v>
      </c>
      <c r="D87">
        <f ca="1">IF('Márgenes combinados'!$F$28='Costo transporte'!A87,'Costo transporte'!B87,0)</f>
        <v>0</v>
      </c>
    </row>
    <row r="88" spans="1:4">
      <c r="A88">
        <v>435</v>
      </c>
      <c r="B88">
        <v>438.3</v>
      </c>
      <c r="D88">
        <f ca="1">IF('Márgenes combinados'!$F$28='Costo transporte'!A88,'Costo transporte'!B88,0)</f>
        <v>0</v>
      </c>
    </row>
    <row r="89" spans="1:4">
      <c r="A89">
        <v>440</v>
      </c>
      <c r="B89">
        <v>442.7</v>
      </c>
      <c r="D89">
        <f ca="1">IF('Márgenes combinados'!$F$28='Costo transporte'!A89,'Costo transporte'!B89,0)</f>
        <v>0</v>
      </c>
    </row>
    <row r="90" spans="1:4">
      <c r="A90">
        <v>445</v>
      </c>
      <c r="B90">
        <v>447.1</v>
      </c>
      <c r="D90">
        <f ca="1">IF('Márgenes combinados'!$F$28='Costo transporte'!A90,'Costo transporte'!B90,0)</f>
        <v>0</v>
      </c>
    </row>
    <row r="91" spans="1:4">
      <c r="A91">
        <v>450</v>
      </c>
      <c r="B91">
        <v>451.5</v>
      </c>
      <c r="D91">
        <f ca="1">IF('Márgenes combinados'!$F$28='Costo transporte'!A91,'Costo transporte'!B91,0)</f>
        <v>451.5</v>
      </c>
    </row>
    <row r="92" spans="1:4">
      <c r="A92">
        <v>455</v>
      </c>
      <c r="B92">
        <v>455.6</v>
      </c>
      <c r="D92">
        <f ca="1">IF('Márgenes combinados'!$F$28='Costo transporte'!A92,'Costo transporte'!B92,0)</f>
        <v>0</v>
      </c>
    </row>
    <row r="93" spans="1:4">
      <c r="A93">
        <v>460</v>
      </c>
      <c r="B93">
        <v>459.7</v>
      </c>
      <c r="D93">
        <f ca="1">IF('Márgenes combinados'!$F$28='Costo transporte'!A93,'Costo transporte'!B93,0)</f>
        <v>0</v>
      </c>
    </row>
    <row r="94" spans="1:4">
      <c r="A94">
        <v>465</v>
      </c>
      <c r="B94">
        <v>463.9</v>
      </c>
      <c r="D94">
        <f ca="1">IF('Márgenes combinados'!$F$28='Costo transporte'!A94,'Costo transporte'!B94,0)</f>
        <v>0</v>
      </c>
    </row>
    <row r="95" spans="1:4">
      <c r="A95">
        <v>470</v>
      </c>
      <c r="B95">
        <v>468.1</v>
      </c>
      <c r="D95">
        <f ca="1">IF('Márgenes combinados'!$F$28='Costo transporte'!A95,'Costo transporte'!B95,0)</f>
        <v>0</v>
      </c>
    </row>
    <row r="96" spans="1:4">
      <c r="A96">
        <v>475</v>
      </c>
      <c r="B96">
        <v>472.2</v>
      </c>
      <c r="D96">
        <f ca="1">IF('Márgenes combinados'!$F$28='Costo transporte'!A96,'Costo transporte'!B96,0)</f>
        <v>0</v>
      </c>
    </row>
    <row r="97" spans="1:10">
      <c r="A97">
        <v>480</v>
      </c>
      <c r="B97">
        <v>477.3</v>
      </c>
      <c r="D97">
        <f ca="1">IF('Márgenes combinados'!$F$28='Costo transporte'!A97,'Costo transporte'!B97,0)</f>
        <v>0</v>
      </c>
    </row>
    <row r="98" spans="1:10">
      <c r="A98">
        <v>485</v>
      </c>
      <c r="B98">
        <v>482.4</v>
      </c>
      <c r="D98">
        <f ca="1">IF('Márgenes combinados'!$F$28='Costo transporte'!A98,'Costo transporte'!B98,0)</f>
        <v>0</v>
      </c>
    </row>
    <row r="99" spans="1:10">
      <c r="A99">
        <v>490</v>
      </c>
      <c r="B99">
        <v>487.5</v>
      </c>
      <c r="D99">
        <f ca="1">IF('Márgenes combinados'!$F$28='Costo transporte'!A99,'Costo transporte'!B99,0)</f>
        <v>0</v>
      </c>
    </row>
    <row r="100" spans="1:10">
      <c r="A100">
        <v>495</v>
      </c>
      <c r="B100">
        <v>492.5</v>
      </c>
      <c r="D100">
        <f ca="1">IF('Márgenes combinados'!$F$28='Costo transporte'!A100,'Costo transporte'!B100,0)</f>
        <v>0</v>
      </c>
    </row>
    <row r="101" spans="1:10">
      <c r="A101">
        <v>500</v>
      </c>
      <c r="B101">
        <v>497.6</v>
      </c>
      <c r="D101">
        <f ca="1">IF('Márgenes combinados'!$F$28='Costo transporte'!A101,'Costo transporte'!B101,0)</f>
        <v>0</v>
      </c>
      <c r="H101">
        <v>524.1</v>
      </c>
      <c r="I101">
        <f>H101-B101</f>
        <v>26.5</v>
      </c>
      <c r="J101">
        <f t="shared" ref="J101:J106" si="0">I101/4</f>
        <v>6.625</v>
      </c>
    </row>
    <row r="102" spans="1:10">
      <c r="A102">
        <v>505</v>
      </c>
      <c r="B102">
        <f>B101+$J$101</f>
        <v>504.22500000000002</v>
      </c>
      <c r="D102">
        <f ca="1">IF('Márgenes combinados'!$F$28='Costo transporte'!A102,'Costo transporte'!B102,0)</f>
        <v>0</v>
      </c>
      <c r="H102">
        <v>530</v>
      </c>
      <c r="I102">
        <f>H102-H101</f>
        <v>5.8999999999999773</v>
      </c>
      <c r="J102">
        <f t="shared" si="0"/>
        <v>1.4749999999999943</v>
      </c>
    </row>
    <row r="103" spans="1:10">
      <c r="A103">
        <v>510</v>
      </c>
      <c r="B103">
        <f>B102+$J$101</f>
        <v>510.85</v>
      </c>
      <c r="D103">
        <f ca="1">IF('Márgenes combinados'!$F$28='Costo transporte'!A103,'Costo transporte'!B103,0)</f>
        <v>0</v>
      </c>
      <c r="H103">
        <v>535</v>
      </c>
      <c r="I103">
        <f>H103-H102</f>
        <v>5</v>
      </c>
      <c r="J103">
        <f t="shared" si="0"/>
        <v>1.25</v>
      </c>
    </row>
    <row r="104" spans="1:10">
      <c r="A104">
        <v>515</v>
      </c>
      <c r="B104">
        <f>B103+$J$101</f>
        <v>517.47500000000002</v>
      </c>
      <c r="D104">
        <f ca="1">IF('Márgenes combinados'!$F$28='Costo transporte'!A104,'Costo transporte'!B104,0)</f>
        <v>0</v>
      </c>
      <c r="H104">
        <v>542</v>
      </c>
      <c r="I104">
        <f>H104-H103</f>
        <v>7</v>
      </c>
      <c r="J104">
        <f t="shared" si="0"/>
        <v>1.75</v>
      </c>
    </row>
    <row r="105" spans="1:10">
      <c r="A105">
        <v>520</v>
      </c>
      <c r="B105">
        <f>B104+$J$101</f>
        <v>524.1</v>
      </c>
      <c r="D105">
        <f ca="1">IF('Márgenes combinados'!$F$28='Costo transporte'!A105,'Costo transporte'!B105,0)</f>
        <v>0</v>
      </c>
      <c r="H105">
        <v>546</v>
      </c>
      <c r="I105">
        <f>H105-H104</f>
        <v>4</v>
      </c>
      <c r="J105">
        <f t="shared" si="0"/>
        <v>1</v>
      </c>
    </row>
    <row r="106" spans="1:10">
      <c r="A106">
        <v>525</v>
      </c>
      <c r="B106">
        <f>B105+$J$102</f>
        <v>525.57500000000005</v>
      </c>
      <c r="D106">
        <f ca="1">IF('Márgenes combinados'!$F$28='Costo transporte'!A106,'Costo transporte'!B106,0)</f>
        <v>0</v>
      </c>
      <c r="H106">
        <v>553</v>
      </c>
      <c r="I106">
        <f>H106-H105</f>
        <v>7</v>
      </c>
      <c r="J106">
        <f t="shared" si="0"/>
        <v>1.75</v>
      </c>
    </row>
    <row r="107" spans="1:10">
      <c r="A107">
        <v>530</v>
      </c>
      <c r="B107">
        <f>B106+$J$102</f>
        <v>527.05000000000007</v>
      </c>
      <c r="D107">
        <f ca="1">IF('Márgenes combinados'!$F$28='Costo transporte'!A107,'Costo transporte'!B107,0)</f>
        <v>0</v>
      </c>
    </row>
    <row r="108" spans="1:10">
      <c r="A108">
        <v>535</v>
      </c>
      <c r="B108">
        <f>B107+$J$102</f>
        <v>528.52500000000009</v>
      </c>
      <c r="D108">
        <f ca="1">IF('Márgenes combinados'!$F$28='Costo transporte'!A108,'Costo transporte'!B108,0)</f>
        <v>0</v>
      </c>
    </row>
    <row r="109" spans="1:10">
      <c r="A109">
        <v>540</v>
      </c>
      <c r="B109">
        <f>B108+$J$102</f>
        <v>530.00000000000011</v>
      </c>
      <c r="D109">
        <f ca="1">IF('Márgenes combinados'!$F$28='Costo transporte'!A109,'Costo transporte'!B109,0)</f>
        <v>0</v>
      </c>
    </row>
    <row r="110" spans="1:10">
      <c r="A110">
        <v>545</v>
      </c>
      <c r="B110">
        <f>B109+$J$103</f>
        <v>531.25000000000011</v>
      </c>
      <c r="D110">
        <f ca="1">IF('Márgenes combinados'!$F$28='Costo transporte'!A110,'Costo transporte'!B110,0)</f>
        <v>0</v>
      </c>
    </row>
    <row r="111" spans="1:10">
      <c r="A111">
        <v>550</v>
      </c>
      <c r="B111">
        <f>B110+$J$103</f>
        <v>532.50000000000011</v>
      </c>
      <c r="D111">
        <f ca="1">IF('Márgenes combinados'!$F$28='Costo transporte'!A111,'Costo transporte'!B111,0)</f>
        <v>0</v>
      </c>
    </row>
    <row r="112" spans="1:10">
      <c r="A112">
        <v>555</v>
      </c>
      <c r="B112">
        <f>B111+$J$103</f>
        <v>533.75000000000011</v>
      </c>
      <c r="D112">
        <f ca="1">IF('Márgenes combinados'!$F$28='Costo transporte'!A112,'Costo transporte'!B112,0)</f>
        <v>0</v>
      </c>
    </row>
    <row r="113" spans="1:4">
      <c r="A113">
        <v>560</v>
      </c>
      <c r="B113">
        <f>B112+$J$103</f>
        <v>535.00000000000011</v>
      </c>
      <c r="D113">
        <f ca="1">IF('Márgenes combinados'!$F$28='Costo transporte'!A113,'Costo transporte'!B113,0)</f>
        <v>0</v>
      </c>
    </row>
    <row r="114" spans="1:4">
      <c r="A114">
        <v>565</v>
      </c>
      <c r="B114">
        <f>B113+$J$104</f>
        <v>536.75000000000011</v>
      </c>
      <c r="D114">
        <f ca="1">IF('Márgenes combinados'!$F$28='Costo transporte'!A114,'Costo transporte'!B114,0)</f>
        <v>0</v>
      </c>
    </row>
    <row r="115" spans="1:4">
      <c r="A115">
        <v>570</v>
      </c>
      <c r="B115">
        <f>B114+$J$104</f>
        <v>538.50000000000011</v>
      </c>
      <c r="D115">
        <f ca="1">IF('Márgenes combinados'!$F$28='Costo transporte'!A115,'Costo transporte'!B115,0)</f>
        <v>0</v>
      </c>
    </row>
    <row r="116" spans="1:4">
      <c r="A116">
        <v>575</v>
      </c>
      <c r="B116">
        <f>B115+$J$104</f>
        <v>540.25000000000011</v>
      </c>
      <c r="D116">
        <f ca="1">IF('Márgenes combinados'!$F$28='Costo transporte'!A116,'Costo transporte'!B116,0)</f>
        <v>0</v>
      </c>
    </row>
    <row r="117" spans="1:4">
      <c r="A117">
        <v>580</v>
      </c>
      <c r="B117">
        <f>B116+$J$104</f>
        <v>542.00000000000011</v>
      </c>
      <c r="D117">
        <f ca="1">IF('Márgenes combinados'!$F$28='Costo transporte'!A117,'Costo transporte'!B117,0)</f>
        <v>0</v>
      </c>
    </row>
    <row r="118" spans="1:4">
      <c r="A118">
        <v>585</v>
      </c>
      <c r="B118">
        <f>B117+$J$105</f>
        <v>543.00000000000011</v>
      </c>
      <c r="D118">
        <f ca="1">IF('Márgenes combinados'!$F$28='Costo transporte'!A118,'Costo transporte'!B118,0)</f>
        <v>0</v>
      </c>
    </row>
    <row r="119" spans="1:4">
      <c r="A119">
        <v>590</v>
      </c>
      <c r="B119">
        <f>B118+$J$105</f>
        <v>544.00000000000011</v>
      </c>
      <c r="D119">
        <f ca="1">IF('Márgenes combinados'!$F$28='Costo transporte'!A119,'Costo transporte'!B119,0)</f>
        <v>0</v>
      </c>
    </row>
    <row r="120" spans="1:4">
      <c r="A120">
        <v>595</v>
      </c>
      <c r="B120">
        <f>B119+$J$105</f>
        <v>545.00000000000011</v>
      </c>
      <c r="D120">
        <f ca="1">IF('Márgenes combinados'!$F$28='Costo transporte'!A120,'Costo transporte'!B120,0)</f>
        <v>0</v>
      </c>
    </row>
    <row r="121" spans="1:4">
      <c r="A121">
        <v>600</v>
      </c>
      <c r="B121">
        <f>B120+$J$105</f>
        <v>546.00000000000011</v>
      </c>
      <c r="D121">
        <f ca="1">IF('Márgenes combinados'!$F$28='Costo transporte'!A121,'Costo transporte'!B121,0)</f>
        <v>0</v>
      </c>
    </row>
    <row r="122" spans="1:4">
      <c r="A122">
        <v>605</v>
      </c>
      <c r="B122">
        <f t="shared" ref="B122:B127" si="1">B121+$J$106</f>
        <v>547.75000000000011</v>
      </c>
      <c r="D122">
        <f ca="1">IF('Márgenes combinados'!$F$28='Costo transporte'!A122,'Costo transporte'!B122,0)</f>
        <v>0</v>
      </c>
    </row>
    <row r="123" spans="1:4">
      <c r="A123">
        <v>610</v>
      </c>
      <c r="B123">
        <f t="shared" si="1"/>
        <v>549.50000000000011</v>
      </c>
      <c r="D123">
        <f ca="1">IF('Márgenes combinados'!$F$28='Costo transporte'!A123,'Costo transporte'!B123,0)</f>
        <v>0</v>
      </c>
    </row>
    <row r="124" spans="1:4">
      <c r="A124">
        <v>615</v>
      </c>
      <c r="B124">
        <f t="shared" si="1"/>
        <v>551.25000000000011</v>
      </c>
      <c r="D124">
        <f ca="1">IF('Márgenes combinados'!$F$28='Costo transporte'!A124,'Costo transporte'!B124,0)</f>
        <v>0</v>
      </c>
    </row>
    <row r="125" spans="1:4">
      <c r="A125">
        <v>620</v>
      </c>
      <c r="B125">
        <f t="shared" si="1"/>
        <v>553.00000000000011</v>
      </c>
      <c r="D125">
        <f ca="1">IF('Márgenes combinados'!$F$28='Costo transporte'!A125,'Costo transporte'!B125,0)</f>
        <v>0</v>
      </c>
    </row>
    <row r="126" spans="1:4">
      <c r="A126">
        <v>625</v>
      </c>
      <c r="B126">
        <f t="shared" si="1"/>
        <v>554.75000000000011</v>
      </c>
      <c r="D126">
        <f ca="1">IF('Márgenes combinados'!$F$28='Costo transporte'!A126,'Costo transporte'!B126,0)</f>
        <v>0</v>
      </c>
    </row>
    <row r="127" spans="1:4">
      <c r="A127">
        <v>630</v>
      </c>
      <c r="B127">
        <f t="shared" si="1"/>
        <v>556.50000000000011</v>
      </c>
      <c r="D127">
        <f ca="1">IF('Márgenes combinados'!$F$28='Costo transporte'!A127,'Costo transporte'!B127,0)</f>
        <v>0</v>
      </c>
    </row>
  </sheetData>
  <sheetProtection password="8992" sheet="1" objects="1" scenarios="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Planteo Técnico</vt:lpstr>
      <vt:lpstr>Precios</vt:lpstr>
      <vt:lpstr>Costos</vt:lpstr>
      <vt:lpstr>Márgenes combinados</vt:lpstr>
      <vt:lpstr>Costo transporte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gagusto</dc:creator>
  <cp:lastModifiedBy>Principal</cp:lastModifiedBy>
  <cp:lastPrinted>2013-11-19T12:16:49Z</cp:lastPrinted>
  <dcterms:created xsi:type="dcterms:W3CDTF">2012-06-04T14:22:02Z</dcterms:created>
  <dcterms:modified xsi:type="dcterms:W3CDTF">2015-08-24T16:10:59Z</dcterms:modified>
</cp:coreProperties>
</file>